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önyvelési napló" sheetId="1" state="visible" r:id="rId1"/>
    <sheet xmlns:r="http://schemas.openxmlformats.org/officeDocument/2006/relationships" name="Összesítő és dashboard" sheetId="2" state="visible" r:id="rId2"/>
    <sheet xmlns:r="http://schemas.openxmlformats.org/officeDocument/2006/relationships" name="Törzsadatok és útmutató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.MM.DD."/>
    <numFmt numFmtId="165" formatCode="# ##0 &quot;Ft&quot;"/>
    <numFmt numFmtId="166" formatCode="0 &quot;db&quot;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b val="1"/>
      <color rgb="001F2937"/>
      <sz val="11"/>
    </font>
    <font>
      <name val="Calibri"/>
      <b val="1"/>
      <color rgb="000F766E"/>
      <sz val="13"/>
    </font>
    <font>
      <name val="Calibri"/>
      <b val="1"/>
      <color rgb="00DC2626"/>
      <sz val="12"/>
    </font>
  </fonts>
  <fills count="9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CFDF5"/>
      </patternFill>
    </fill>
    <fill>
      <patternFill patternType="solid">
        <fgColor rgb="0014B8A6"/>
      </patternFill>
    </fill>
    <fill>
      <patternFill patternType="solid">
        <fgColor rgb="00FEE2E2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right" vertical="center"/>
    </xf>
    <xf numFmtId="9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 wrapText="1"/>
    </xf>
    <xf numFmtId="0" fontId="4" fillId="0" borderId="0" pivotButton="0" quotePrefix="0" xfId="0"/>
    <xf numFmtId="165" fontId="4" fillId="6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left" vertical="center" wrapText="1"/>
    </xf>
    <xf numFmtId="166" fontId="4" fillId="6" borderId="1" applyAlignment="1" pivotButton="0" quotePrefix="0" xfId="0">
      <alignment horizontal="right" vertical="center"/>
    </xf>
    <xf numFmtId="0" fontId="5" fillId="0" borderId="0" pivotButton="0" quotePrefix="0" xfId="0"/>
    <xf numFmtId="165" fontId="0" fillId="3" borderId="1" applyAlignment="1" pivotButton="0" quotePrefix="0" xfId="0">
      <alignment horizontal="right" vertical="center"/>
    </xf>
    <xf numFmtId="165" fontId="0" fillId="5" borderId="1" applyAlignment="1" pivotButton="0" quotePrefix="0" xfId="0">
      <alignment horizontal="right" vertical="center"/>
    </xf>
    <xf numFmtId="0" fontId="3" fillId="3" borderId="1" pivotButton="0" quotePrefix="0" xfId="0"/>
    <xf numFmtId="0" fontId="3" fillId="5" borderId="1" pivotButton="0" quotePrefix="0" xfId="0"/>
    <xf numFmtId="0" fontId="3" fillId="0" borderId="0" pivotButton="0" quotePrefix="0" xfId="0"/>
    <xf numFmtId="0" fontId="4" fillId="4" borderId="1" applyAlignment="1" pivotButton="0" quotePrefix="0" xfId="0">
      <alignment horizontal="center" vertical="center" wrapText="1"/>
    </xf>
    <xf numFmtId="0" fontId="3" fillId="0" borderId="1" pivotButton="0" quotePrefix="0" xfId="0"/>
    <xf numFmtId="0" fontId="2" fillId="7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9" fontId="3" fillId="0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top" wrapText="1"/>
    </xf>
    <xf numFmtId="0" fontId="6" fillId="8" borderId="0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5" fontId="4" fillId="6" borderId="1" applyAlignment="1" pivotButton="0" quotePrefix="0" xfId="0">
      <alignment horizontal="right" vertical="center"/>
    </xf>
    <xf numFmtId="166" fontId="4" fillId="6" borderId="1" applyAlignment="1" pivotButton="0" quotePrefix="0" xfId="0">
      <alignment horizontal="right" vertical="center"/>
    </xf>
    <xf numFmtId="165" fontId="0" fillId="3" borderId="1" applyAlignment="1" pivotButton="0" quotePrefix="0" xfId="0">
      <alignment horizontal="right" vertical="center"/>
    </xf>
    <xf numFmtId="165" fontId="0" fillId="5" borderId="1" applyAlignment="1" pivotButton="0" quotePrefix="0" xfId="0">
      <alignment horizontal="right" vertical="center"/>
    </xf>
  </cellXfs>
  <cellStyles count="1">
    <cellStyle name="Normal" xfId="0" builtinId="0" hidden="0"/>
  </cellStyles>
  <dxfs count="3">
    <dxf>
      <font>
        <name val="Calibri"/>
        <b val="1"/>
        <color rgb="00DC2626"/>
        <sz val="12"/>
      </font>
      <fill>
        <patternFill patternType="solid">
          <fgColor rgb="00FEE2E2"/>
        </patternFill>
      </fill>
    </dxf>
    <dxf>
      <font>
        <name val="Calibri"/>
        <b val="1"/>
        <color rgb="00DC2626"/>
        <sz val="12"/>
      </font>
    </dxf>
    <dxf>
      <font>
        <name val="Calibri"/>
        <b val="1"/>
        <color rgb="0016A34A"/>
        <sz val="1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bevétel és kiadás (2026)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 és dashboard'!B14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'Összesítő és dashboard'!$A$15:$A$26</f>
            </numRef>
          </cat>
          <val>
            <numRef>
              <f>'Összesítő és dashboard'!$B$15:$B$26</f>
            </numRef>
          </val>
        </ser>
        <ser>
          <idx val="1"/>
          <order val="1"/>
          <tx>
            <strRef>
              <f>'Összesítő és dashboard'!C14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'Összesítő és dashboard'!$A$15:$A$26</f>
            </numRef>
          </cat>
          <val>
            <numRef>
              <f>'Összesítő és dashboard'!$C$15:$C$26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eredmény alakulása</a:t>
            </a:r>
          </a:p>
        </rich>
      </tx>
    </title>
    <plotArea>
      <lineChart>
        <grouping val="standard"/>
        <ser>
          <idx val="0"/>
          <order val="0"/>
          <tx>
            <strRef>
              <f>'Összesítő és dashboard'!D14</f>
            </strRef>
          </tx>
          <spPr>
            <a:ln xmlns:a="http://schemas.openxmlformats.org/drawingml/2006/main" w="28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 és dashboard'!$A$15:$A$26</f>
            </numRef>
          </cat>
          <val>
            <numRef>
              <f>'Összesítő és dashboard'!$D$15:$D$26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Kiadások megoszlása kategóriánként</a:t>
            </a:r>
          </a:p>
        </rich>
      </tx>
    </title>
    <plotArea>
      <pieChart>
        <varyColors val="1"/>
        <ser>
          <idx val="0"/>
          <order val="0"/>
          <tx>
            <strRef>
              <f>'Összesítő és dashboard'!B29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 és dashboard'!$A$30:$A$35</f>
            </numRef>
          </cat>
          <val>
            <numRef>
              <f>'Összesítő és dashboard'!$B$30:$B$35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64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19</row>
      <rowOff>0</rowOff>
    </from>
    <ext cx="648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36</row>
      <rowOff>0</rowOff>
    </from>
    <ext cx="36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15" customWidth="1" min="2" max="2"/>
    <col width="15" customWidth="1" min="3" max="3"/>
    <col width="14" customWidth="1" min="4" max="4"/>
    <col width="15" customWidth="1" min="5" max="5"/>
    <col width="20" customWidth="1" min="6" max="6"/>
    <col width="18" customWidth="1" min="7" max="7"/>
    <col width="16" customWidth="1" min="8" max="8"/>
    <col width="18" customWidth="1" min="9" max="9"/>
    <col width="24" customWidth="1" min="10" max="10"/>
    <col width="14" customWidth="1" min="11" max="11"/>
    <col width="10" customWidth="1" min="12" max="12"/>
    <col width="15" customWidth="1" min="13" max="13"/>
    <col width="10" customWidth="1" min="14" max="14"/>
    <col width="14" customWidth="1" min="15" max="15"/>
    <col width="15" customWidth="1" min="16" max="16"/>
    <col width="12" customWidth="1" min="17" max="17"/>
    <col width="14" customWidth="1" min="18" max="18"/>
    <col width="12" customWidth="1" min="19" max="19"/>
    <col width="30" customWidth="1" min="20" max="20"/>
    <col width="12" customWidth="1" min="21" max="21"/>
  </cols>
  <sheetData>
    <row r="1" ht="28" customHeight="1">
      <c r="A1" s="1" t="inlineStr">
        <is>
          <t>Egyéni vállalkozó könyvelési napló – 2026</t>
        </is>
      </c>
    </row>
    <row r="2" ht="34" customHeight="1">
      <c r="A2" s="2" t="inlineStr">
        <is>
          <t>Sorszám</t>
        </is>
      </c>
      <c r="B2" s="2" t="inlineStr">
        <is>
          <t>Könyvelési dátum</t>
        </is>
      </c>
      <c r="C2" s="2" t="inlineStr">
        <is>
          <t>Teljesítés dátuma</t>
        </is>
      </c>
      <c r="D2" s="2" t="inlineStr">
        <is>
          <t>Bizonylat típusa</t>
        </is>
      </c>
      <c r="E2" s="2" t="inlineStr">
        <is>
          <t>Bizonylatszám</t>
        </is>
      </c>
      <c r="F2" s="2" t="inlineStr">
        <is>
          <t>Partner neve</t>
        </is>
      </c>
      <c r="G2" s="2" t="inlineStr">
        <is>
          <t>Partner típusa</t>
        </is>
      </c>
      <c r="H2" s="2" t="inlineStr">
        <is>
          <t>Partner városa</t>
        </is>
      </c>
      <c r="I2" s="2" t="inlineStr">
        <is>
          <t>Adószám</t>
        </is>
      </c>
      <c r="J2" s="2" t="inlineStr">
        <is>
          <t>Tétel megnevezése</t>
        </is>
      </c>
      <c r="K2" s="2" t="inlineStr">
        <is>
          <t>Kategória</t>
        </is>
      </c>
      <c r="L2" s="2" t="inlineStr">
        <is>
          <t>Irány</t>
        </is>
      </c>
      <c r="M2" s="2" t="inlineStr">
        <is>
          <t>Nettó összeg (Ft)</t>
        </is>
      </c>
      <c r="N2" s="2" t="inlineStr">
        <is>
          <t>ÁFA-kulcs</t>
        </is>
      </c>
      <c r="O2" s="2" t="inlineStr">
        <is>
          <t>ÁFA összege (Ft)</t>
        </is>
      </c>
      <c r="P2" s="2" t="inlineStr">
        <is>
          <t>Bruttó összeg (Ft)</t>
        </is>
      </c>
      <c r="Q2" s="2" t="inlineStr">
        <is>
          <t>Fizetési mód</t>
        </is>
      </c>
      <c r="R2" s="2" t="inlineStr">
        <is>
          <t>Fizetési státusz</t>
        </is>
      </c>
      <c r="S2" s="2" t="inlineStr">
        <is>
          <t>Levonható költség?</t>
        </is>
      </c>
      <c r="T2" s="2" t="inlineStr">
        <is>
          <t>Megjegyzés</t>
        </is>
      </c>
      <c r="U2" s="2" t="inlineStr">
        <is>
          <t>Fizetési figyelmeztetés</t>
        </is>
      </c>
    </row>
    <row r="3">
      <c r="A3" s="3" t="n">
        <v>1</v>
      </c>
      <c r="B3" s="31" t="n">
        <v>46040</v>
      </c>
      <c r="C3" s="31" t="n">
        <v>46037</v>
      </c>
      <c r="D3" s="5" t="inlineStr">
        <is>
          <t>Számla</t>
        </is>
      </c>
      <c r="E3" s="6" t="inlineStr">
        <is>
          <t>2026-001</t>
        </is>
      </c>
      <c r="F3" s="6" t="inlineStr">
        <is>
          <t>Nagy Péter</t>
        </is>
      </c>
      <c r="G3" s="6" t="inlineStr">
        <is>
          <t>Magánszemély</t>
        </is>
      </c>
      <c r="H3" s="6" t="inlineStr">
        <is>
          <t>Budapest</t>
        </is>
      </c>
      <c r="I3" s="6" t="inlineStr">
        <is>
          <t>61234567-1-24</t>
        </is>
      </c>
      <c r="J3" s="6" t="inlineStr">
        <is>
          <t>Üzleti tanácsadás</t>
        </is>
      </c>
      <c r="K3" s="6" t="inlineStr">
        <is>
          <t>Árbevétel</t>
        </is>
      </c>
      <c r="L3" s="5" t="inlineStr">
        <is>
          <t>Bevétel</t>
        </is>
      </c>
      <c r="M3" s="32" t="n">
        <v>250000</v>
      </c>
      <c r="N3" s="8" t="n">
        <v>0.27</v>
      </c>
      <c r="O3" s="33">
        <f>M3*N3</f>
        <v/>
      </c>
      <c r="P3" s="33">
        <f>M3+O3</f>
        <v/>
      </c>
      <c r="Q3" s="5" t="inlineStr">
        <is>
          <t>Átutalás</t>
        </is>
      </c>
      <c r="R3" s="5" t="inlineStr">
        <is>
          <t>Fizetve</t>
        </is>
      </c>
      <c r="S3" s="5" t="inlineStr">
        <is>
          <t>Nem</t>
        </is>
      </c>
      <c r="T3" s="6" t="inlineStr">
        <is>
          <t>Januári projekt díja</t>
        </is>
      </c>
      <c r="U3" s="10">
        <f>IF(R3="Késedelmes","FIGYELEM","Rendben")</f>
        <v/>
      </c>
    </row>
    <row r="4">
      <c r="A4" s="11" t="n">
        <v>2</v>
      </c>
      <c r="B4" s="31" t="n">
        <v>46063</v>
      </c>
      <c r="C4" s="31" t="n">
        <v>46058</v>
      </c>
      <c r="D4" s="5" t="inlineStr">
        <is>
          <t>Számla</t>
        </is>
      </c>
      <c r="E4" s="6" t="inlineStr">
        <is>
          <t>2026-002</t>
        </is>
      </c>
      <c r="F4" s="6" t="inlineStr">
        <is>
          <t>Kovács Anna</t>
        </is>
      </c>
      <c r="G4" s="6" t="inlineStr">
        <is>
          <t>Kft.</t>
        </is>
      </c>
      <c r="H4" s="6" t="inlineStr">
        <is>
          <t>Debrecen</t>
        </is>
      </c>
      <c r="I4" s="6" t="inlineStr">
        <is>
          <t>23456789-2-09</t>
        </is>
      </c>
      <c r="J4" s="6" t="inlineStr">
        <is>
          <t>Weboldal készítés</t>
        </is>
      </c>
      <c r="K4" s="6" t="inlineStr">
        <is>
          <t>Árbevétel</t>
        </is>
      </c>
      <c r="L4" s="5" t="inlineStr">
        <is>
          <t>Bevétel</t>
        </is>
      </c>
      <c r="M4" s="32" t="n">
        <v>420000</v>
      </c>
      <c r="N4" s="8" t="n">
        <v>0.27</v>
      </c>
      <c r="O4" s="34">
        <f>M4*N4</f>
        <v/>
      </c>
      <c r="P4" s="34">
        <f>M4+O4</f>
        <v/>
      </c>
      <c r="Q4" s="5" t="inlineStr">
        <is>
          <t>Átutalás</t>
        </is>
      </c>
      <c r="R4" s="5" t="inlineStr">
        <is>
          <t>Fizetve</t>
        </is>
      </c>
      <c r="S4" s="5" t="inlineStr">
        <is>
          <t>Nem</t>
        </is>
      </c>
      <c r="T4" s="6" t="inlineStr">
        <is>
          <t>Céges weboldal megújítása</t>
        </is>
      </c>
      <c r="U4" s="13">
        <f>IF(R4="Késedelmes","FIGYELEM","Rendben")</f>
        <v/>
      </c>
    </row>
    <row r="5">
      <c r="A5" s="3" t="n">
        <v>3</v>
      </c>
      <c r="B5" s="31" t="n">
        <v>46084</v>
      </c>
      <c r="C5" s="31" t="n">
        <v>46082</v>
      </c>
      <c r="D5" s="5" t="inlineStr">
        <is>
          <t>Nyugta</t>
        </is>
      </c>
      <c r="E5" s="6" t="inlineStr">
        <is>
          <t>N-2026-014</t>
        </is>
      </c>
      <c r="F5" s="6" t="inlineStr">
        <is>
          <t>Szabó Gábor</t>
        </is>
      </c>
      <c r="G5" s="6" t="inlineStr">
        <is>
          <t>Bt.</t>
        </is>
      </c>
      <c r="H5" s="6" t="inlineStr">
        <is>
          <t>Szeged</t>
        </is>
      </c>
      <c r="I5" s="6" t="inlineStr">
        <is>
          <t>34567890-2-06</t>
        </is>
      </c>
      <c r="J5" s="6" t="inlineStr">
        <is>
          <t>Irodaszer vásárlás</t>
        </is>
      </c>
      <c r="K5" s="6" t="inlineStr">
        <is>
          <t>Irodaköltség</t>
        </is>
      </c>
      <c r="L5" s="5" t="inlineStr">
        <is>
          <t>Kiadás</t>
        </is>
      </c>
      <c r="M5" s="32" t="n">
        <v>18500</v>
      </c>
      <c r="N5" s="8" t="n">
        <v>0.27</v>
      </c>
      <c r="O5" s="33">
        <f>M5*N5</f>
        <v/>
      </c>
      <c r="P5" s="33">
        <f>M5+O5</f>
        <v/>
      </c>
      <c r="Q5" s="5" t="inlineStr">
        <is>
          <t>Készpénz</t>
        </is>
      </c>
      <c r="R5" s="5" t="inlineStr">
        <is>
          <t>Fizetve</t>
        </is>
      </c>
      <c r="S5" s="5" t="inlineStr">
        <is>
          <t>Igen</t>
        </is>
      </c>
      <c r="T5" s="6" t="inlineStr">
        <is>
          <t>Papír, tinta, iratrendező</t>
        </is>
      </c>
      <c r="U5" s="10">
        <f>IF(R5="Késedelmes","FIGYELEM","Rendben")</f>
        <v/>
      </c>
    </row>
    <row r="6">
      <c r="A6" s="11" t="n">
        <v>4</v>
      </c>
      <c r="B6" s="31" t="n">
        <v>46106</v>
      </c>
      <c r="C6" s="31" t="n">
        <v>46101</v>
      </c>
      <c r="D6" s="5" t="inlineStr">
        <is>
          <t>Számla</t>
        </is>
      </c>
      <c r="E6" s="6" t="inlineStr">
        <is>
          <t>2026-003</t>
        </is>
      </c>
      <c r="F6" s="6" t="inlineStr">
        <is>
          <t>Tóth Erzsébet</t>
        </is>
      </c>
      <c r="G6" s="6" t="inlineStr">
        <is>
          <t>egyéni vállalkozó</t>
        </is>
      </c>
      <c r="H6" s="6" t="inlineStr">
        <is>
          <t>Miskolc</t>
        </is>
      </c>
      <c r="I6" s="6" t="inlineStr">
        <is>
          <t>45678901-1-22</t>
        </is>
      </c>
      <c r="J6" s="6" t="inlineStr">
        <is>
          <t>Könyvelési díj</t>
        </is>
      </c>
      <c r="K6" s="6" t="inlineStr">
        <is>
          <t>Szolgáltatás</t>
        </is>
      </c>
      <c r="L6" s="5" t="inlineStr">
        <is>
          <t>Kiadás</t>
        </is>
      </c>
      <c r="M6" s="32" t="n">
        <v>45000</v>
      </c>
      <c r="N6" s="8" t="n">
        <v>0.27</v>
      </c>
      <c r="O6" s="34">
        <f>M6*N6</f>
        <v/>
      </c>
      <c r="P6" s="34">
        <f>M6+O6</f>
        <v/>
      </c>
      <c r="Q6" s="5" t="inlineStr">
        <is>
          <t>Átutalás</t>
        </is>
      </c>
      <c r="R6" s="5" t="inlineStr">
        <is>
          <t>Fizetve</t>
        </is>
      </c>
      <c r="S6" s="5" t="inlineStr">
        <is>
          <t>Igen</t>
        </is>
      </c>
      <c r="T6" s="6" t="inlineStr">
        <is>
          <t>Havi könyvelés Q1</t>
        </is>
      </c>
      <c r="U6" s="13">
        <f>IF(R6="Késedelmes","FIGYELEM","Rendben")</f>
        <v/>
      </c>
    </row>
    <row r="7">
      <c r="A7" s="3" t="n">
        <v>5</v>
      </c>
      <c r="B7" s="31" t="n">
        <v>46126</v>
      </c>
      <c r="C7" s="31" t="n">
        <v>46124</v>
      </c>
      <c r="D7" s="5" t="inlineStr">
        <is>
          <t>Nyugta</t>
        </is>
      </c>
      <c r="E7" s="6" t="inlineStr">
        <is>
          <t>N-2026-031</t>
        </is>
      </c>
      <c r="F7" s="6" t="inlineStr">
        <is>
          <t>Horváth Zoltán</t>
        </is>
      </c>
      <c r="G7" s="6" t="inlineStr">
        <is>
          <t>Kft.</t>
        </is>
      </c>
      <c r="H7" s="6" t="inlineStr">
        <is>
          <t>Pécs</t>
        </is>
      </c>
      <c r="I7" s="6" t="inlineStr">
        <is>
          <t>56789012-2-02</t>
        </is>
      </c>
      <c r="J7" s="6" t="inlineStr">
        <is>
          <t>Üzemanyag</t>
        </is>
      </c>
      <c r="K7" s="6" t="inlineStr">
        <is>
          <t>Üzemanyag</t>
        </is>
      </c>
      <c r="L7" s="5" t="inlineStr">
        <is>
          <t>Kiadás</t>
        </is>
      </c>
      <c r="M7" s="32" t="n">
        <v>32000</v>
      </c>
      <c r="N7" s="8" t="n">
        <v>0.27</v>
      </c>
      <c r="O7" s="33">
        <f>M7*N7</f>
        <v/>
      </c>
      <c r="P7" s="33">
        <f>M7+O7</f>
        <v/>
      </c>
      <c r="Q7" s="5" t="inlineStr">
        <is>
          <t>Bankkártya</t>
        </is>
      </c>
      <c r="R7" s="5" t="inlineStr">
        <is>
          <t>Fizetve</t>
        </is>
      </c>
      <c r="S7" s="5" t="inlineStr">
        <is>
          <t>Igen</t>
        </is>
      </c>
      <c r="T7" s="6" t="inlineStr">
        <is>
          <t>Ügyféllátogatás útiköltség</t>
        </is>
      </c>
      <c r="U7" s="10">
        <f>IF(R7="Késedelmes","FIGYELEM","Rendben")</f>
        <v/>
      </c>
    </row>
    <row r="8">
      <c r="A8" s="11" t="n">
        <v>6</v>
      </c>
      <c r="B8" s="31" t="n">
        <v>46150</v>
      </c>
      <c r="C8" s="31" t="n">
        <v>46147</v>
      </c>
      <c r="D8" s="5" t="inlineStr">
        <is>
          <t>Számla</t>
        </is>
      </c>
      <c r="E8" s="6" t="inlineStr">
        <is>
          <t>2026-004</t>
        </is>
      </c>
      <c r="F8" s="6" t="inlineStr">
        <is>
          <t>Kiss Mária</t>
        </is>
      </c>
      <c r="G8" s="6" t="inlineStr">
        <is>
          <t>Magánszemély</t>
        </is>
      </c>
      <c r="H8" s="6" t="inlineStr">
        <is>
          <t>Győr</t>
        </is>
      </c>
      <c r="I8" s="6" t="inlineStr">
        <is>
          <t>67890123-1-13</t>
        </is>
      </c>
      <c r="J8" s="6" t="inlineStr">
        <is>
          <t>Marketing kampány</t>
        </is>
      </c>
      <c r="K8" s="6" t="inlineStr">
        <is>
          <t>Árbevétel</t>
        </is>
      </c>
      <c r="L8" s="5" t="inlineStr">
        <is>
          <t>Bevétel</t>
        </is>
      </c>
      <c r="M8" s="32" t="n">
        <v>180000</v>
      </c>
      <c r="N8" s="8" t="n">
        <v>0.27</v>
      </c>
      <c r="O8" s="34">
        <f>M8*N8</f>
        <v/>
      </c>
      <c r="P8" s="34">
        <f>M8+O8</f>
        <v/>
      </c>
      <c r="Q8" s="5" t="inlineStr">
        <is>
          <t>Átutalás</t>
        </is>
      </c>
      <c r="R8" s="5" t="inlineStr">
        <is>
          <t>Késedelmes</t>
        </is>
      </c>
      <c r="S8" s="5" t="inlineStr">
        <is>
          <t>Nem</t>
        </is>
      </c>
      <c r="T8" s="6" t="inlineStr">
        <is>
          <t>Fizetési felszólítás küldve</t>
        </is>
      </c>
      <c r="U8" s="13">
        <f>IF(R8="Késedelmes","FIGYELEM","Rendben")</f>
        <v/>
      </c>
    </row>
    <row r="9">
      <c r="A9" s="3" t="n">
        <v>7</v>
      </c>
      <c r="B9" s="31" t="n">
        <v>46175</v>
      </c>
      <c r="C9" s="31" t="n">
        <v>46172</v>
      </c>
      <c r="D9" s="5" t="inlineStr">
        <is>
          <t>Számla</t>
        </is>
      </c>
      <c r="E9" s="6" t="inlineStr">
        <is>
          <t>2026-005</t>
        </is>
      </c>
      <c r="F9" s="6" t="inlineStr">
        <is>
          <t>Varga István</t>
        </is>
      </c>
      <c r="G9" s="6" t="inlineStr">
        <is>
          <t>Kft.</t>
        </is>
      </c>
      <c r="H9" s="6" t="inlineStr">
        <is>
          <t>Nyíregyháza</t>
        </is>
      </c>
      <c r="I9" s="6" t="inlineStr">
        <is>
          <t>78901234-2-04</t>
        </is>
      </c>
      <c r="J9" s="6" t="inlineStr">
        <is>
          <t>Laptop vásárlás</t>
        </is>
      </c>
      <c r="K9" s="6" t="inlineStr">
        <is>
          <t>Anyagköltség</t>
        </is>
      </c>
      <c r="L9" s="5" t="inlineStr">
        <is>
          <t>Kiadás</t>
        </is>
      </c>
      <c r="M9" s="32" t="n">
        <v>385000</v>
      </c>
      <c r="N9" s="8" t="n">
        <v>0.27</v>
      </c>
      <c r="O9" s="33">
        <f>M9*N9</f>
        <v/>
      </c>
      <c r="P9" s="33">
        <f>M9+O9</f>
        <v/>
      </c>
      <c r="Q9" s="5" t="inlineStr">
        <is>
          <t>Átutalás</t>
        </is>
      </c>
      <c r="R9" s="5" t="inlineStr">
        <is>
          <t>Fizetve</t>
        </is>
      </c>
      <c r="S9" s="5" t="inlineStr">
        <is>
          <t>Igen</t>
        </is>
      </c>
      <c r="T9" s="6" t="inlineStr">
        <is>
          <t>Tárgyi eszköz</t>
        </is>
      </c>
      <c r="U9" s="10">
        <f>IF(R9="Késedelmes","FIGYELEM","Rendben")</f>
        <v/>
      </c>
    </row>
    <row r="10">
      <c r="A10" s="11" t="n">
        <v>8</v>
      </c>
      <c r="B10" s="31" t="n">
        <v>46193</v>
      </c>
      <c r="C10" s="31" t="n">
        <v>46191</v>
      </c>
      <c r="D10" s="5" t="inlineStr">
        <is>
          <t>Számla</t>
        </is>
      </c>
      <c r="E10" s="6" t="inlineStr">
        <is>
          <t>2026-006</t>
        </is>
      </c>
      <c r="F10" s="6" t="inlineStr">
        <is>
          <t>Németh Judit</t>
        </is>
      </c>
      <c r="G10" s="6" t="inlineStr">
        <is>
          <t>Bt.</t>
        </is>
      </c>
      <c r="H10" s="6" t="inlineStr">
        <is>
          <t>Kecskemét</t>
        </is>
      </c>
      <c r="I10" s="6" t="inlineStr">
        <is>
          <t>89012345-2-07</t>
        </is>
      </c>
      <c r="J10" s="6" t="inlineStr">
        <is>
          <t>Tárhely szolgáltatás</t>
        </is>
      </c>
      <c r="K10" s="6" t="inlineStr">
        <is>
          <t>Szolgáltatás</t>
        </is>
      </c>
      <c r="L10" s="5" t="inlineStr">
        <is>
          <t>Kiadás</t>
        </is>
      </c>
      <c r="M10" s="32" t="n">
        <v>12500</v>
      </c>
      <c r="N10" s="8" t="n">
        <v>0.27</v>
      </c>
      <c r="O10" s="34">
        <f>M10*N10</f>
        <v/>
      </c>
      <c r="P10" s="34">
        <f>M10+O10</f>
        <v/>
      </c>
      <c r="Q10" s="5" t="inlineStr">
        <is>
          <t>Átutalás</t>
        </is>
      </c>
      <c r="R10" s="5" t="inlineStr">
        <is>
          <t>Fizetve</t>
        </is>
      </c>
      <c r="S10" s="5" t="inlineStr">
        <is>
          <t>Igen</t>
        </is>
      </c>
      <c r="T10" s="6" t="inlineStr">
        <is>
          <t>Éves tárhely díj</t>
        </is>
      </c>
      <c r="U10" s="13">
        <f>IF(R10="Késedelmes","FIGYELEM","Rendben")</f>
        <v/>
      </c>
    </row>
    <row r="11">
      <c r="A11" s="3" t="n">
        <v>9</v>
      </c>
      <c r="B11" s="31" t="n">
        <v>46213</v>
      </c>
      <c r="C11" s="31" t="n">
        <v>46211</v>
      </c>
      <c r="D11" s="5" t="inlineStr">
        <is>
          <t>Számla</t>
        </is>
      </c>
      <c r="E11" s="6" t="inlineStr">
        <is>
          <t>2026-007</t>
        </is>
      </c>
      <c r="F11" s="6" t="inlineStr">
        <is>
          <t>Farkas Tamás</t>
        </is>
      </c>
      <c r="G11" s="6" t="inlineStr">
        <is>
          <t>egyéni vállalkozó</t>
        </is>
      </c>
      <c r="H11" s="6" t="inlineStr">
        <is>
          <t>Székesfehérvár</t>
        </is>
      </c>
      <c r="I11" s="6" t="inlineStr">
        <is>
          <t>90123456-1-41</t>
        </is>
      </c>
      <c r="J11" s="6" t="inlineStr">
        <is>
          <t>Szakmai oktatás tartása</t>
        </is>
      </c>
      <c r="K11" s="6" t="inlineStr">
        <is>
          <t>Árbevétel</t>
        </is>
      </c>
      <c r="L11" s="5" t="inlineStr">
        <is>
          <t>Bevétel</t>
        </is>
      </c>
      <c r="M11" s="32" t="n">
        <v>150000</v>
      </c>
      <c r="N11" s="8" t="n">
        <v>0.18</v>
      </c>
      <c r="O11" s="33">
        <f>M11*N11</f>
        <v/>
      </c>
      <c r="P11" s="33">
        <f>M11+O11</f>
        <v/>
      </c>
      <c r="Q11" s="5" t="inlineStr">
        <is>
          <t>Átutalás</t>
        </is>
      </c>
      <c r="R11" s="5" t="inlineStr">
        <is>
          <t>Folyamatban</t>
        </is>
      </c>
      <c r="S11" s="5" t="inlineStr">
        <is>
          <t>Nem</t>
        </is>
      </c>
      <c r="T11" s="6" t="inlineStr">
        <is>
          <t>Kétnapos workshop</t>
        </is>
      </c>
      <c r="U11" s="10">
        <f>IF(R11="Késedelmes","FIGYELEM","Rendben")</f>
        <v/>
      </c>
    </row>
    <row r="12">
      <c r="A12" s="11" t="n">
        <v>10</v>
      </c>
      <c r="B12" s="31" t="n">
        <v>46227</v>
      </c>
      <c r="C12" s="31" t="n">
        <v>46225</v>
      </c>
      <c r="D12" s="5" t="inlineStr">
        <is>
          <t>Egyéb</t>
        </is>
      </c>
      <c r="E12" s="6" t="inlineStr">
        <is>
          <t>BANK-2026-07</t>
        </is>
      </c>
      <c r="F12" s="6" t="inlineStr">
        <is>
          <t>Balogh Éva</t>
        </is>
      </c>
      <c r="G12" s="6" t="inlineStr">
        <is>
          <t>Kft.</t>
        </is>
      </c>
      <c r="H12" s="6" t="inlineStr">
        <is>
          <t>Szombathely</t>
        </is>
      </c>
      <c r="I12" s="6" t="inlineStr">
        <is>
          <t>11223344-2-01</t>
        </is>
      </c>
      <c r="J12" s="6" t="inlineStr">
        <is>
          <t>Banki díjak</t>
        </is>
      </c>
      <c r="K12" s="6" t="inlineStr">
        <is>
          <t>Bankköltség</t>
        </is>
      </c>
      <c r="L12" s="5" t="inlineStr">
        <is>
          <t>Kiadás</t>
        </is>
      </c>
      <c r="M12" s="32" t="n">
        <v>8600</v>
      </c>
      <c r="N12" s="8" t="n">
        <v>0</v>
      </c>
      <c r="O12" s="34">
        <f>M12*N12</f>
        <v/>
      </c>
      <c r="P12" s="34">
        <f>M12+O12</f>
        <v/>
      </c>
      <c r="Q12" s="5" t="inlineStr">
        <is>
          <t>Átutalás</t>
        </is>
      </c>
      <c r="R12" s="5" t="inlineStr">
        <is>
          <t>Fizetve</t>
        </is>
      </c>
      <c r="S12" s="5" t="inlineStr">
        <is>
          <t>Igen</t>
        </is>
      </c>
      <c r="T12" s="6" t="inlineStr">
        <is>
          <t>Havi számlavezetési díj</t>
        </is>
      </c>
      <c r="U12" s="13">
        <f>IF(R12="Késedelmes","FIGYELEM","Rendben")</f>
        <v/>
      </c>
    </row>
    <row r="13">
      <c r="J13" s="14" t="inlineStr">
        <is>
          <t>Összesen:</t>
        </is>
      </c>
      <c r="M13" s="35">
        <f>SUM(M3:M12)</f>
        <v/>
      </c>
      <c r="O13" s="35">
        <f>SUM(O3:O12)</f>
        <v/>
      </c>
      <c r="P13" s="35">
        <f>SUM(P3:P12)</f>
        <v/>
      </c>
    </row>
  </sheetData>
  <mergeCells count="1">
    <mergeCell ref="A1:U1"/>
  </mergeCells>
  <conditionalFormatting sqref="U3:U12">
    <cfRule type="expression" priority="1" dxfId="0" stopIfTrue="1">
      <formula>$U3="FIGYELEM"</formula>
    </cfRule>
  </conditionalFormatting>
  <conditionalFormatting sqref="R3:R12">
    <cfRule type="expression" priority="2" dxfId="1" stopIfTrue="1">
      <formula>$R3="Késedelmes"</formula>
    </cfRule>
  </conditionalFormatting>
  <dataValidations count="6">
    <dataValidation sqref="D3:D32" showErrorMessage="1" showInputMessage="1" allowBlank="1" type="list">
      <formula1>"Számla,Nyugta,Egyéb"</formula1>
    </dataValidation>
    <dataValidation sqref="L3:L32" showErrorMessage="1" showInputMessage="1" allowBlank="1" type="list">
      <formula1>"Bevétel,Kiadás"</formula1>
    </dataValidation>
    <dataValidation sqref="Q3:Q32" showErrorMessage="1" showInputMessage="1" allowBlank="1" type="list">
      <formula1>"Átutalás,Bankkártya,Készpénz"</formula1>
    </dataValidation>
    <dataValidation sqref="R3:R32" showErrorMessage="1" showInputMessage="1" allowBlank="1" type="list">
      <formula1>"Fizetve,Folyamatban,Késedelmes"</formula1>
    </dataValidation>
    <dataValidation sqref="S3:S32" showErrorMessage="1" showInputMessage="1" allowBlank="1" type="list">
      <formula1>"Igen,Nem"</formula1>
    </dataValidation>
    <dataValidation sqref="N3:N32" showErrorMessage="1" showInputMessage="1" allowBlank="1" type="list">
      <formula1>"0,0.05,0.18,0.27"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selection activeCell="A1" sqref="A1"/>
    </sheetView>
  </sheetViews>
  <sheetFormatPr baseColWidth="8" defaultRowHeight="15"/>
  <cols>
    <col width="38" customWidth="1" min="1" max="1"/>
    <col width="20" customWidth="1" min="2" max="2"/>
    <col width="18" customWidth="1" min="3" max="3"/>
    <col width="16" customWidth="1" min="4" max="4"/>
    <col width="18" customWidth="1" min="5" max="5"/>
    <col width="4" customWidth="1" min="6" max="6"/>
    <col width="14" customWidth="1" min="7" max="7"/>
    <col width="14" customWidth="1" min="8" max="8"/>
  </cols>
  <sheetData>
    <row r="1" ht="28" customHeight="1">
      <c r="A1" s="1" t="inlineStr">
        <is>
          <t>Vezetői összesítő és dashboard – 2026</t>
        </is>
      </c>
    </row>
    <row r="3">
      <c r="A3" s="16" t="inlineStr">
        <is>
          <t>Összes bevétel (bruttó)</t>
        </is>
      </c>
      <c r="B3" s="35">
        <f>SUMIF('Könyvelési napló'!L:L,"Bevétel",'Könyvelési napló'!P:P)</f>
        <v/>
      </c>
    </row>
    <row r="4">
      <c r="A4" s="16" t="inlineStr">
        <is>
          <t>Összes kiadás (bruttó)</t>
        </is>
      </c>
      <c r="B4" s="35">
        <f>SUMIF('Könyvelési napló'!L:L,"Kiadás",'Könyvelési napló'!P:P)</f>
        <v/>
      </c>
    </row>
    <row r="5">
      <c r="A5" s="16" t="inlineStr">
        <is>
          <t>Adózás előtti eredmény</t>
        </is>
      </c>
      <c r="B5" s="35">
        <f>B3-B4</f>
        <v/>
      </c>
    </row>
    <row r="6">
      <c r="A6" s="16" t="inlineStr">
        <is>
          <t>Fizetendő ÁFA</t>
        </is>
      </c>
      <c r="B6" s="35">
        <f>SUMIF('Könyvelési napló'!L:L,"Bevétel",'Könyvelési napló'!O:O)</f>
        <v/>
      </c>
    </row>
    <row r="7">
      <c r="A7" s="16" t="inlineStr">
        <is>
          <t>Levonható ÁFA</t>
        </is>
      </c>
      <c r="B7" s="35">
        <f>SUMIFS('Könyvelési napló'!O:O,'Könyvelési napló'!L:L,"Kiadás",'Könyvelési napló'!S:S,"Igen")</f>
        <v/>
      </c>
    </row>
    <row r="8">
      <c r="A8" s="16" t="inlineStr">
        <is>
          <t>Becsült ÁFA-egyenleg</t>
        </is>
      </c>
      <c r="B8" s="35">
        <f>B6-B7</f>
        <v/>
      </c>
    </row>
    <row r="9">
      <c r="A9" s="16" t="inlineStr">
        <is>
          <t>Késedelmes tételek száma</t>
        </is>
      </c>
      <c r="B9" s="36">
        <f>COUNTIF('Könyvelési napló'!R:R,"Késedelmes")</f>
        <v/>
      </c>
    </row>
    <row r="10">
      <c r="A10" s="16" t="inlineStr">
        <is>
          <t>Átlagos bizonylatérték</t>
        </is>
      </c>
      <c r="B10" s="35">
        <f>IFERROR(AVERAGE('Könyvelési napló'!P:P),0)</f>
        <v/>
      </c>
    </row>
    <row r="13">
      <c r="A13" s="18" t="inlineStr">
        <is>
          <t>Havi kimutatás (2026)</t>
        </is>
      </c>
    </row>
    <row r="14">
      <c r="A14" s="2" t="inlineStr">
        <is>
          <t>Hónap</t>
        </is>
      </c>
      <c r="B14" s="2" t="inlineStr">
        <is>
          <t>Bevétel (Ft)</t>
        </is>
      </c>
      <c r="C14" s="2" t="inlineStr">
        <is>
          <t>Kiadás (Ft)</t>
        </is>
      </c>
      <c r="D14" s="2" t="inlineStr">
        <is>
          <t>Eredmény (Ft)</t>
        </is>
      </c>
      <c r="E14" s="2" t="inlineStr">
        <is>
          <t>ÁFA-egyenleg (Ft)</t>
        </is>
      </c>
    </row>
    <row r="15">
      <c r="A15" s="10" t="inlineStr">
        <is>
          <t>Január</t>
        </is>
      </c>
      <c r="B15" s="37">
        <f>SUMIFS('Könyvelési napló'!$P$3:$P$200,'Könyvelési napló'!$L$3:$L$200,"Bevétel",'Könyvelési napló'!$B$3:$B$200,"&gt;="&amp;DATE(2026,1,1),'Könyvelési napló'!$B$3:$B$200,"&lt;"&amp;DATE(2026,2,1))</f>
        <v/>
      </c>
      <c r="C15" s="37">
        <f>SUMIFS('Könyvelési napló'!$P$3:$P$200,'Könyvelési napló'!$L$3:$L$200,"Kiadás",'Könyvelési napló'!$B$3:$B$200,"&gt;="&amp;DATE(2026,1,1),'Könyvelési napló'!$B$3:$B$200,"&lt;"&amp;DATE(2026,2,1))</f>
        <v/>
      </c>
      <c r="D15" s="37">
        <f>B15-C15</f>
        <v/>
      </c>
      <c r="E15" s="37">
        <f>SUMIFS('Könyvelési napló'!$O$3:$O$200,'Könyvelési napló'!$L$3:$L$200,"Bevétel",'Könyvelési napló'!$B$3:$B$200,"&gt;="&amp;DATE(2026,1,1),'Könyvelési napló'!$B$3:$B$200,"&lt;"&amp;DATE(2026,2,1))-SUMIFS('Könyvelési napló'!$O$3:$O$200,'Könyvelési napló'!$L$3:$L$200,"Kiadás",'Könyvelési napló'!$B$3:$B$200,"&gt;="&amp;DATE(2026,1,1),'Könyvelési napló'!$B$3:$B$200,"&lt;"&amp;DATE(2026,2,1))</f>
        <v/>
      </c>
    </row>
    <row r="16">
      <c r="A16" s="13" t="inlineStr">
        <is>
          <t>Február</t>
        </is>
      </c>
      <c r="B16" s="38">
        <f>SUMIFS('Könyvelési napló'!$P$3:$P$200,'Könyvelési napló'!$L$3:$L$200,"Bevétel",'Könyvelési napló'!$B$3:$B$200,"&gt;="&amp;DATE(2026,2,1),'Könyvelési napló'!$B$3:$B$200,"&lt;"&amp;DATE(2026,3,1))</f>
        <v/>
      </c>
      <c r="C16" s="38">
        <f>SUMIFS('Könyvelési napló'!$P$3:$P$200,'Könyvelési napló'!$L$3:$L$200,"Kiadás",'Könyvelési napló'!$B$3:$B$200,"&gt;="&amp;DATE(2026,2,1),'Könyvelési napló'!$B$3:$B$200,"&lt;"&amp;DATE(2026,3,1))</f>
        <v/>
      </c>
      <c r="D16" s="38">
        <f>B16-C16</f>
        <v/>
      </c>
      <c r="E16" s="38">
        <f>SUMIFS('Könyvelési napló'!$O$3:$O$200,'Könyvelési napló'!$L$3:$L$200,"Bevétel",'Könyvelési napló'!$B$3:$B$200,"&gt;="&amp;DATE(2026,2,1),'Könyvelési napló'!$B$3:$B$200,"&lt;"&amp;DATE(2026,3,1))-SUMIFS('Könyvelési napló'!$O$3:$O$200,'Könyvelési napló'!$L$3:$L$200,"Kiadás",'Könyvelési napló'!$B$3:$B$200,"&gt;="&amp;DATE(2026,2,1),'Könyvelési napló'!$B$3:$B$200,"&lt;"&amp;DATE(2026,3,1))</f>
        <v/>
      </c>
    </row>
    <row r="17">
      <c r="A17" s="10" t="inlineStr">
        <is>
          <t>Március</t>
        </is>
      </c>
      <c r="B17" s="37">
        <f>SUMIFS('Könyvelési napló'!$P$3:$P$200,'Könyvelési napló'!$L$3:$L$200,"Bevétel",'Könyvelési napló'!$B$3:$B$200,"&gt;="&amp;DATE(2026,3,1),'Könyvelési napló'!$B$3:$B$200,"&lt;"&amp;DATE(2026,4,1))</f>
        <v/>
      </c>
      <c r="C17" s="37">
        <f>SUMIFS('Könyvelési napló'!$P$3:$P$200,'Könyvelési napló'!$L$3:$L$200,"Kiadás",'Könyvelési napló'!$B$3:$B$200,"&gt;="&amp;DATE(2026,3,1),'Könyvelési napló'!$B$3:$B$200,"&lt;"&amp;DATE(2026,4,1))</f>
        <v/>
      </c>
      <c r="D17" s="37">
        <f>B17-C17</f>
        <v/>
      </c>
      <c r="E17" s="37">
        <f>SUMIFS('Könyvelési napló'!$O$3:$O$200,'Könyvelési napló'!$L$3:$L$200,"Bevétel",'Könyvelési napló'!$B$3:$B$200,"&gt;="&amp;DATE(2026,3,1),'Könyvelési napló'!$B$3:$B$200,"&lt;"&amp;DATE(2026,4,1))-SUMIFS('Könyvelési napló'!$O$3:$O$200,'Könyvelési napló'!$L$3:$L$200,"Kiadás",'Könyvelési napló'!$B$3:$B$200,"&gt;="&amp;DATE(2026,3,1),'Könyvelési napló'!$B$3:$B$200,"&lt;"&amp;DATE(2026,4,1))</f>
        <v/>
      </c>
    </row>
    <row r="18">
      <c r="A18" s="13" t="inlineStr">
        <is>
          <t>Április</t>
        </is>
      </c>
      <c r="B18" s="38">
        <f>SUMIFS('Könyvelési napló'!$P$3:$P$200,'Könyvelési napló'!$L$3:$L$200,"Bevétel",'Könyvelési napló'!$B$3:$B$200,"&gt;="&amp;DATE(2026,4,1),'Könyvelési napló'!$B$3:$B$200,"&lt;"&amp;DATE(2026,5,1))</f>
        <v/>
      </c>
      <c r="C18" s="38">
        <f>SUMIFS('Könyvelési napló'!$P$3:$P$200,'Könyvelési napló'!$L$3:$L$200,"Kiadás",'Könyvelési napló'!$B$3:$B$200,"&gt;="&amp;DATE(2026,4,1),'Könyvelési napló'!$B$3:$B$200,"&lt;"&amp;DATE(2026,5,1))</f>
        <v/>
      </c>
      <c r="D18" s="38">
        <f>B18-C18</f>
        <v/>
      </c>
      <c r="E18" s="38">
        <f>SUMIFS('Könyvelési napló'!$O$3:$O$200,'Könyvelési napló'!$L$3:$L$200,"Bevétel",'Könyvelési napló'!$B$3:$B$200,"&gt;="&amp;DATE(2026,4,1),'Könyvelési napló'!$B$3:$B$200,"&lt;"&amp;DATE(2026,5,1))-SUMIFS('Könyvelési napló'!$O$3:$O$200,'Könyvelési napló'!$L$3:$L$200,"Kiadás",'Könyvelési napló'!$B$3:$B$200,"&gt;="&amp;DATE(2026,4,1),'Könyvelési napló'!$B$3:$B$200,"&lt;"&amp;DATE(2026,5,1))</f>
        <v/>
      </c>
    </row>
    <row r="19">
      <c r="A19" s="10" t="inlineStr">
        <is>
          <t>Május</t>
        </is>
      </c>
      <c r="B19" s="37">
        <f>SUMIFS('Könyvelési napló'!$P$3:$P$200,'Könyvelési napló'!$L$3:$L$200,"Bevétel",'Könyvelési napló'!$B$3:$B$200,"&gt;="&amp;DATE(2026,5,1),'Könyvelési napló'!$B$3:$B$200,"&lt;"&amp;DATE(2026,6,1))</f>
        <v/>
      </c>
      <c r="C19" s="37">
        <f>SUMIFS('Könyvelési napló'!$P$3:$P$200,'Könyvelési napló'!$L$3:$L$200,"Kiadás",'Könyvelési napló'!$B$3:$B$200,"&gt;="&amp;DATE(2026,5,1),'Könyvelési napló'!$B$3:$B$200,"&lt;"&amp;DATE(2026,6,1))</f>
        <v/>
      </c>
      <c r="D19" s="37">
        <f>B19-C19</f>
        <v/>
      </c>
      <c r="E19" s="37">
        <f>SUMIFS('Könyvelési napló'!$O$3:$O$200,'Könyvelési napló'!$L$3:$L$200,"Bevétel",'Könyvelési napló'!$B$3:$B$200,"&gt;="&amp;DATE(2026,5,1),'Könyvelési napló'!$B$3:$B$200,"&lt;"&amp;DATE(2026,6,1))-SUMIFS('Könyvelési napló'!$O$3:$O$200,'Könyvelési napló'!$L$3:$L$200,"Kiadás",'Könyvelési napló'!$B$3:$B$200,"&gt;="&amp;DATE(2026,5,1),'Könyvelési napló'!$B$3:$B$200,"&lt;"&amp;DATE(2026,6,1))</f>
        <v/>
      </c>
    </row>
    <row r="20">
      <c r="A20" s="13" t="inlineStr">
        <is>
          <t>Június</t>
        </is>
      </c>
      <c r="B20" s="38">
        <f>SUMIFS('Könyvelési napló'!$P$3:$P$200,'Könyvelési napló'!$L$3:$L$200,"Bevétel",'Könyvelési napló'!$B$3:$B$200,"&gt;="&amp;DATE(2026,6,1),'Könyvelési napló'!$B$3:$B$200,"&lt;"&amp;DATE(2026,7,1))</f>
        <v/>
      </c>
      <c r="C20" s="38">
        <f>SUMIFS('Könyvelési napló'!$P$3:$P$200,'Könyvelési napló'!$L$3:$L$200,"Kiadás",'Könyvelési napló'!$B$3:$B$200,"&gt;="&amp;DATE(2026,6,1),'Könyvelési napló'!$B$3:$B$200,"&lt;"&amp;DATE(2026,7,1))</f>
        <v/>
      </c>
      <c r="D20" s="38">
        <f>B20-C20</f>
        <v/>
      </c>
      <c r="E20" s="38">
        <f>SUMIFS('Könyvelési napló'!$O$3:$O$200,'Könyvelési napló'!$L$3:$L$200,"Bevétel",'Könyvelési napló'!$B$3:$B$200,"&gt;="&amp;DATE(2026,6,1),'Könyvelési napló'!$B$3:$B$200,"&lt;"&amp;DATE(2026,7,1))-SUMIFS('Könyvelési napló'!$O$3:$O$200,'Könyvelési napló'!$L$3:$L$200,"Kiadás",'Könyvelési napló'!$B$3:$B$200,"&gt;="&amp;DATE(2026,6,1),'Könyvelési napló'!$B$3:$B$200,"&lt;"&amp;DATE(2026,7,1))</f>
        <v/>
      </c>
    </row>
    <row r="21">
      <c r="A21" s="10" t="inlineStr">
        <is>
          <t>Július</t>
        </is>
      </c>
      <c r="B21" s="37">
        <f>SUMIFS('Könyvelési napló'!$P$3:$P$200,'Könyvelési napló'!$L$3:$L$200,"Bevétel",'Könyvelési napló'!$B$3:$B$200,"&gt;="&amp;DATE(2026,7,1),'Könyvelési napló'!$B$3:$B$200,"&lt;"&amp;DATE(2026,8,1))</f>
        <v/>
      </c>
      <c r="C21" s="37">
        <f>SUMIFS('Könyvelési napló'!$P$3:$P$200,'Könyvelési napló'!$L$3:$L$200,"Kiadás",'Könyvelési napló'!$B$3:$B$200,"&gt;="&amp;DATE(2026,7,1),'Könyvelési napló'!$B$3:$B$200,"&lt;"&amp;DATE(2026,8,1))</f>
        <v/>
      </c>
      <c r="D21" s="37">
        <f>B21-C21</f>
        <v/>
      </c>
      <c r="E21" s="37">
        <f>SUMIFS('Könyvelési napló'!$O$3:$O$200,'Könyvelési napló'!$L$3:$L$200,"Bevétel",'Könyvelési napló'!$B$3:$B$200,"&gt;="&amp;DATE(2026,7,1),'Könyvelési napló'!$B$3:$B$200,"&lt;"&amp;DATE(2026,8,1))-SUMIFS('Könyvelési napló'!$O$3:$O$200,'Könyvelési napló'!$L$3:$L$200,"Kiadás",'Könyvelési napló'!$B$3:$B$200,"&gt;="&amp;DATE(2026,7,1),'Könyvelési napló'!$B$3:$B$200,"&lt;"&amp;DATE(2026,8,1))</f>
        <v/>
      </c>
    </row>
    <row r="22">
      <c r="A22" s="13" t="inlineStr">
        <is>
          <t>Augusztus</t>
        </is>
      </c>
      <c r="B22" s="38">
        <f>SUMIFS('Könyvelési napló'!$P$3:$P$200,'Könyvelési napló'!$L$3:$L$200,"Bevétel",'Könyvelési napló'!$B$3:$B$200,"&gt;="&amp;DATE(2026,8,1),'Könyvelési napló'!$B$3:$B$200,"&lt;"&amp;DATE(2026,9,1))</f>
        <v/>
      </c>
      <c r="C22" s="38">
        <f>SUMIFS('Könyvelési napló'!$P$3:$P$200,'Könyvelési napló'!$L$3:$L$200,"Kiadás",'Könyvelési napló'!$B$3:$B$200,"&gt;="&amp;DATE(2026,8,1),'Könyvelési napló'!$B$3:$B$200,"&lt;"&amp;DATE(2026,9,1))</f>
        <v/>
      </c>
      <c r="D22" s="38">
        <f>B22-C22</f>
        <v/>
      </c>
      <c r="E22" s="38">
        <f>SUMIFS('Könyvelési napló'!$O$3:$O$200,'Könyvelési napló'!$L$3:$L$200,"Bevétel",'Könyvelési napló'!$B$3:$B$200,"&gt;="&amp;DATE(2026,8,1),'Könyvelési napló'!$B$3:$B$200,"&lt;"&amp;DATE(2026,9,1))-SUMIFS('Könyvelési napló'!$O$3:$O$200,'Könyvelési napló'!$L$3:$L$200,"Kiadás",'Könyvelési napló'!$B$3:$B$200,"&gt;="&amp;DATE(2026,8,1),'Könyvelési napló'!$B$3:$B$200,"&lt;"&amp;DATE(2026,9,1))</f>
        <v/>
      </c>
    </row>
    <row r="23">
      <c r="A23" s="10" t="inlineStr">
        <is>
          <t>Szeptember</t>
        </is>
      </c>
      <c r="B23" s="37">
        <f>SUMIFS('Könyvelési napló'!$P$3:$P$200,'Könyvelési napló'!$L$3:$L$200,"Bevétel",'Könyvelési napló'!$B$3:$B$200,"&gt;="&amp;DATE(2026,9,1),'Könyvelési napló'!$B$3:$B$200,"&lt;"&amp;DATE(2026,10,1))</f>
        <v/>
      </c>
      <c r="C23" s="37">
        <f>SUMIFS('Könyvelési napló'!$P$3:$P$200,'Könyvelési napló'!$L$3:$L$200,"Kiadás",'Könyvelési napló'!$B$3:$B$200,"&gt;="&amp;DATE(2026,9,1),'Könyvelési napló'!$B$3:$B$200,"&lt;"&amp;DATE(2026,10,1))</f>
        <v/>
      </c>
      <c r="D23" s="37">
        <f>B23-C23</f>
        <v/>
      </c>
      <c r="E23" s="37">
        <f>SUMIFS('Könyvelési napló'!$O$3:$O$200,'Könyvelési napló'!$L$3:$L$200,"Bevétel",'Könyvelési napló'!$B$3:$B$200,"&gt;="&amp;DATE(2026,9,1),'Könyvelési napló'!$B$3:$B$200,"&lt;"&amp;DATE(2026,10,1))-SUMIFS('Könyvelési napló'!$O$3:$O$200,'Könyvelési napló'!$L$3:$L$200,"Kiadás",'Könyvelési napló'!$B$3:$B$200,"&gt;="&amp;DATE(2026,9,1),'Könyvelési napló'!$B$3:$B$200,"&lt;"&amp;DATE(2026,10,1))</f>
        <v/>
      </c>
    </row>
    <row r="24">
      <c r="A24" s="13" t="inlineStr">
        <is>
          <t>Október</t>
        </is>
      </c>
      <c r="B24" s="38">
        <f>SUMIFS('Könyvelési napló'!$P$3:$P$200,'Könyvelési napló'!$L$3:$L$200,"Bevétel",'Könyvelési napló'!$B$3:$B$200,"&gt;="&amp;DATE(2026,10,1),'Könyvelési napló'!$B$3:$B$200,"&lt;"&amp;DATE(2026,11,1))</f>
        <v/>
      </c>
      <c r="C24" s="38">
        <f>SUMIFS('Könyvelési napló'!$P$3:$P$200,'Könyvelési napló'!$L$3:$L$200,"Kiadás",'Könyvelési napló'!$B$3:$B$200,"&gt;="&amp;DATE(2026,10,1),'Könyvelési napló'!$B$3:$B$200,"&lt;"&amp;DATE(2026,11,1))</f>
        <v/>
      </c>
      <c r="D24" s="38">
        <f>B24-C24</f>
        <v/>
      </c>
      <c r="E24" s="38">
        <f>SUMIFS('Könyvelési napló'!$O$3:$O$200,'Könyvelési napló'!$L$3:$L$200,"Bevétel",'Könyvelési napló'!$B$3:$B$200,"&gt;="&amp;DATE(2026,10,1),'Könyvelési napló'!$B$3:$B$200,"&lt;"&amp;DATE(2026,11,1))-SUMIFS('Könyvelési napló'!$O$3:$O$200,'Könyvelési napló'!$L$3:$L$200,"Kiadás",'Könyvelési napló'!$B$3:$B$200,"&gt;="&amp;DATE(2026,10,1),'Könyvelési napló'!$B$3:$B$200,"&lt;"&amp;DATE(2026,11,1))</f>
        <v/>
      </c>
    </row>
    <row r="25">
      <c r="A25" s="10" t="inlineStr">
        <is>
          <t>November</t>
        </is>
      </c>
      <c r="B25" s="37">
        <f>SUMIFS('Könyvelési napló'!$P$3:$P$200,'Könyvelési napló'!$L$3:$L$200,"Bevétel",'Könyvelési napló'!$B$3:$B$200,"&gt;="&amp;DATE(2026,11,1),'Könyvelési napló'!$B$3:$B$200,"&lt;"&amp;DATE(2026,12,1))</f>
        <v/>
      </c>
      <c r="C25" s="37">
        <f>SUMIFS('Könyvelési napló'!$P$3:$P$200,'Könyvelési napló'!$L$3:$L$200,"Kiadás",'Könyvelési napló'!$B$3:$B$200,"&gt;="&amp;DATE(2026,11,1),'Könyvelési napló'!$B$3:$B$200,"&lt;"&amp;DATE(2026,12,1))</f>
        <v/>
      </c>
      <c r="D25" s="37">
        <f>B25-C25</f>
        <v/>
      </c>
      <c r="E25" s="37">
        <f>SUMIFS('Könyvelési napló'!$O$3:$O$200,'Könyvelési napló'!$L$3:$L$200,"Bevétel",'Könyvelési napló'!$B$3:$B$200,"&gt;="&amp;DATE(2026,11,1),'Könyvelési napló'!$B$3:$B$200,"&lt;"&amp;DATE(2026,12,1))-SUMIFS('Könyvelési napló'!$O$3:$O$200,'Könyvelési napló'!$L$3:$L$200,"Kiadás",'Könyvelési napló'!$B$3:$B$200,"&gt;="&amp;DATE(2026,11,1),'Könyvelési napló'!$B$3:$B$200,"&lt;"&amp;DATE(2026,12,1))</f>
        <v/>
      </c>
    </row>
    <row r="26">
      <c r="A26" s="13" t="inlineStr">
        <is>
          <t>December</t>
        </is>
      </c>
      <c r="B26" s="38">
        <f>SUMIFS('Könyvelési napló'!$P$3:$P$200,'Könyvelési napló'!$L$3:$L$200,"Bevétel",'Könyvelési napló'!$B$3:$B$200,"&gt;="&amp;DATE(2026,12,1),'Könyvelési napló'!$B$3:$B$200,"&lt;"&amp;DATE(2027,1,1))</f>
        <v/>
      </c>
      <c r="C26" s="38">
        <f>SUMIFS('Könyvelési napló'!$P$3:$P$200,'Könyvelési napló'!$L$3:$L$200,"Kiadás",'Könyvelési napló'!$B$3:$B$200,"&gt;="&amp;DATE(2026,12,1),'Könyvelési napló'!$B$3:$B$200,"&lt;"&amp;DATE(2027,1,1))</f>
        <v/>
      </c>
      <c r="D26" s="38">
        <f>B26-C26</f>
        <v/>
      </c>
      <c r="E26" s="38">
        <f>SUMIFS('Könyvelési napló'!$O$3:$O$200,'Könyvelési napló'!$L$3:$L$200,"Bevétel",'Könyvelési napló'!$B$3:$B$200,"&gt;="&amp;DATE(2026,12,1),'Könyvelési napló'!$B$3:$B$200,"&lt;"&amp;DATE(2027,1,1))-SUMIFS('Könyvelési napló'!$O$3:$O$200,'Könyvelési napló'!$L$3:$L$200,"Kiadás",'Könyvelési napló'!$B$3:$B$200,"&gt;="&amp;DATE(2026,12,1),'Könyvelési napló'!$B$3:$B$200,"&lt;"&amp;DATE(2027,1,1))</f>
        <v/>
      </c>
    </row>
    <row r="28">
      <c r="A28" s="18" t="inlineStr">
        <is>
          <t>Kiadások kategóriánként</t>
        </is>
      </c>
    </row>
    <row r="29">
      <c r="A29" s="2" t="inlineStr">
        <is>
          <t>Kategória</t>
        </is>
      </c>
      <c r="B29" s="2" t="inlineStr">
        <is>
          <t>Összeg (Ft)</t>
        </is>
      </c>
    </row>
    <row r="30">
      <c r="A30" s="21" t="inlineStr">
        <is>
          <t>Anyagköltség</t>
        </is>
      </c>
      <c r="B30" s="37">
        <f>SUMIFS('Könyvelési napló'!$M$3:$M$200,'Könyvelési napló'!$K$3:$K$200,"Anyagköltség",'Könyvelési napló'!$L$3:$L$200,"Kiadás")</f>
        <v/>
      </c>
    </row>
    <row r="31">
      <c r="A31" s="22" t="inlineStr">
        <is>
          <t>Szolgáltatás</t>
        </is>
      </c>
      <c r="B31" s="38">
        <f>SUMIFS('Könyvelési napló'!$M$3:$M$200,'Könyvelési napló'!$K$3:$K$200,"Szolgáltatás",'Könyvelési napló'!$L$3:$L$200,"Kiadás")</f>
        <v/>
      </c>
    </row>
    <row r="32">
      <c r="A32" s="21" t="inlineStr">
        <is>
          <t>Üzemanyag</t>
        </is>
      </c>
      <c r="B32" s="37">
        <f>SUMIFS('Könyvelési napló'!$M$3:$M$200,'Könyvelési napló'!$K$3:$K$200,"Üzemanyag",'Könyvelési napló'!$L$3:$L$200,"Kiadás")</f>
        <v/>
      </c>
    </row>
    <row r="33">
      <c r="A33" s="22" t="inlineStr">
        <is>
          <t>Irodaköltség</t>
        </is>
      </c>
      <c r="B33" s="38">
        <f>SUMIFS('Könyvelési napló'!$M$3:$M$200,'Könyvelési napló'!$K$3:$K$200,"Irodaköltség",'Könyvelési napló'!$L$3:$L$200,"Kiadás")</f>
        <v/>
      </c>
    </row>
    <row r="34">
      <c r="A34" s="21" t="inlineStr">
        <is>
          <t>Bankköltség</t>
        </is>
      </c>
      <c r="B34" s="37">
        <f>SUMIFS('Könyvelési napló'!$M$3:$M$200,'Könyvelési napló'!$K$3:$K$200,"Bankköltség",'Könyvelési napló'!$L$3:$L$200,"Kiadás")</f>
        <v/>
      </c>
    </row>
    <row r="35">
      <c r="A35" s="22" t="inlineStr">
        <is>
          <t>Egyéb</t>
        </is>
      </c>
      <c r="B35" s="38">
        <f>SUMIFS('Könyvelési napló'!$M$3:$M$200,'Könyvelési napló'!$K$3:$K$200,"Egyéb",'Könyvelési napló'!$L$3:$L$200,"Kiadás")</f>
        <v/>
      </c>
    </row>
    <row r="38">
      <c r="A38" s="18" t="inlineStr">
        <is>
          <t>VLOOKUP minta – partner keresése azonosító alapján</t>
        </is>
      </c>
    </row>
    <row r="39">
      <c r="A39" s="23" t="inlineStr">
        <is>
          <t>Partnerazonosító (írja be):</t>
        </is>
      </c>
      <c r="B39" s="24" t="inlineStr">
        <is>
          <t>P-001</t>
        </is>
      </c>
    </row>
    <row r="40">
      <c r="A40" s="23" t="inlineStr">
        <is>
          <t>Partner neve</t>
        </is>
      </c>
      <c r="B40" s="25">
        <f>IFERROR(VLOOKUP($B$39,'Törzsadatok és útmutató'!$A$4:$D$200,2,FALSE),"")</f>
        <v/>
      </c>
    </row>
    <row r="41">
      <c r="A41" s="23" t="inlineStr">
        <is>
          <t>Partner típusa</t>
        </is>
      </c>
      <c r="B41" s="25">
        <f>IFERROR(VLOOKUP($B$39,'Törzsadatok és útmutató'!$A$4:$D$200,3,FALSE),"")</f>
        <v/>
      </c>
    </row>
    <row r="42">
      <c r="A42" s="23" t="inlineStr">
        <is>
          <t>Város</t>
        </is>
      </c>
      <c r="B42" s="25">
        <f>IFERROR(VLOOKUP($B$39,'Törzsadatok és útmutató'!$A$4:$D$200,4,FALSE),"")</f>
        <v/>
      </c>
    </row>
  </sheetData>
  <mergeCells count="1">
    <mergeCell ref="A1:H1"/>
  </mergeCells>
  <conditionalFormatting sqref="B5">
    <cfRule type="expression" priority="1" dxfId="2" stopIfTrue="1">
      <formula>B5&gt;=0</formula>
    </cfRule>
    <cfRule type="expression" priority="2" dxfId="1" stopIfTrue="1">
      <formula>B5&lt;0</formula>
    </cfRule>
  </conditionalFormatting>
  <conditionalFormatting sqref="B9">
    <cfRule type="expression" priority="3" dxfId="1" stopIfTrue="1">
      <formula>B9&gt;0</formula>
    </cfRule>
  </conditionalFormatting>
  <conditionalFormatting sqref="D15:D26">
    <cfRule type="expression" priority="4" dxfId="2" stopIfTrue="1">
      <formula>D15&gt;=0</formula>
    </cfRule>
    <cfRule type="expression" priority="5" dxfId="1" stopIfTrue="1">
      <formula>D15&lt;0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20" customWidth="1" min="3" max="3"/>
    <col width="18" customWidth="1" min="4" max="4"/>
    <col width="20" customWidth="1" min="5" max="5"/>
    <col width="14" customWidth="1" min="6" max="6"/>
  </cols>
  <sheetData>
    <row r="1" ht="28" customHeight="1">
      <c r="A1" s="1" t="inlineStr">
        <is>
          <t>Törzsadatok és használati útmutató</t>
        </is>
      </c>
    </row>
    <row r="2">
      <c r="A2" s="18" t="inlineStr">
        <is>
          <t>Partner-törzsadatok</t>
        </is>
      </c>
    </row>
    <row r="3">
      <c r="A3" s="2" t="inlineStr">
        <is>
          <t>Partnerazonosító</t>
        </is>
      </c>
      <c r="B3" s="2" t="inlineStr">
        <is>
          <t>Partner neve</t>
        </is>
      </c>
      <c r="C3" s="2" t="inlineStr">
        <is>
          <t>Partner típusa</t>
        </is>
      </c>
      <c r="D3" s="2" t="inlineStr">
        <is>
          <t>Város</t>
        </is>
      </c>
      <c r="E3" s="2" t="inlineStr">
        <is>
          <t>Adószám</t>
        </is>
      </c>
    </row>
    <row r="4">
      <c r="A4" s="10" t="inlineStr">
        <is>
          <t>P-001</t>
        </is>
      </c>
      <c r="B4" s="10" t="inlineStr">
        <is>
          <t>Nagy Péter</t>
        </is>
      </c>
      <c r="C4" s="10" t="inlineStr">
        <is>
          <t>Magánszemély</t>
        </is>
      </c>
      <c r="D4" s="10" t="inlineStr">
        <is>
          <t>Budapest</t>
        </is>
      </c>
      <c r="E4" s="10" t="inlineStr">
        <is>
          <t>61234567-1-24</t>
        </is>
      </c>
    </row>
    <row r="5">
      <c r="A5" s="13" t="inlineStr">
        <is>
          <t>P-002</t>
        </is>
      </c>
      <c r="B5" s="13" t="inlineStr">
        <is>
          <t>Kovács Anna</t>
        </is>
      </c>
      <c r="C5" s="13" t="inlineStr">
        <is>
          <t>Kft.</t>
        </is>
      </c>
      <c r="D5" s="13" t="inlineStr">
        <is>
          <t>Debrecen</t>
        </is>
      </c>
      <c r="E5" s="13" t="inlineStr">
        <is>
          <t>23456789-2-09</t>
        </is>
      </c>
    </row>
    <row r="6">
      <c r="A6" s="10" t="inlineStr">
        <is>
          <t>P-003</t>
        </is>
      </c>
      <c r="B6" s="10" t="inlineStr">
        <is>
          <t>Szabó Gábor</t>
        </is>
      </c>
      <c r="C6" s="10" t="inlineStr">
        <is>
          <t>Bt.</t>
        </is>
      </c>
      <c r="D6" s="10" t="inlineStr">
        <is>
          <t>Szeged</t>
        </is>
      </c>
      <c r="E6" s="10" t="inlineStr">
        <is>
          <t>34567890-2-06</t>
        </is>
      </c>
    </row>
    <row r="7">
      <c r="A7" s="13" t="inlineStr">
        <is>
          <t>P-004</t>
        </is>
      </c>
      <c r="B7" s="13" t="inlineStr">
        <is>
          <t>Tóth Erzsébet</t>
        </is>
      </c>
      <c r="C7" s="13" t="inlineStr">
        <is>
          <t>egyéni vállalkozó</t>
        </is>
      </c>
      <c r="D7" s="13" t="inlineStr">
        <is>
          <t>Miskolc</t>
        </is>
      </c>
      <c r="E7" s="13" t="inlineStr">
        <is>
          <t>45678901-1-22</t>
        </is>
      </c>
    </row>
    <row r="8">
      <c r="A8" s="10" t="inlineStr">
        <is>
          <t>P-005</t>
        </is>
      </c>
      <c r="B8" s="10" t="inlineStr">
        <is>
          <t>Horváth Zoltán</t>
        </is>
      </c>
      <c r="C8" s="10" t="inlineStr">
        <is>
          <t>Kft.</t>
        </is>
      </c>
      <c r="D8" s="10" t="inlineStr">
        <is>
          <t>Pécs</t>
        </is>
      </c>
      <c r="E8" s="10" t="inlineStr">
        <is>
          <t>56789012-2-02</t>
        </is>
      </c>
    </row>
    <row r="9">
      <c r="A9" s="13" t="inlineStr">
        <is>
          <t>P-006</t>
        </is>
      </c>
      <c r="B9" s="13" t="inlineStr">
        <is>
          <t>Kiss Mária</t>
        </is>
      </c>
      <c r="C9" s="13" t="inlineStr">
        <is>
          <t>Magánszemély</t>
        </is>
      </c>
      <c r="D9" s="13" t="inlineStr">
        <is>
          <t>Győr</t>
        </is>
      </c>
      <c r="E9" s="13" t="inlineStr">
        <is>
          <t>67890123-1-13</t>
        </is>
      </c>
    </row>
    <row r="10">
      <c r="A10" s="10" t="inlineStr">
        <is>
          <t>P-007</t>
        </is>
      </c>
      <c r="B10" s="10" t="inlineStr">
        <is>
          <t>Varga István</t>
        </is>
      </c>
      <c r="C10" s="10" t="inlineStr">
        <is>
          <t>Kft.</t>
        </is>
      </c>
      <c r="D10" s="10" t="inlineStr">
        <is>
          <t>Nyíregyháza</t>
        </is>
      </c>
      <c r="E10" s="10" t="inlineStr">
        <is>
          <t>78901234-2-04</t>
        </is>
      </c>
    </row>
    <row r="11">
      <c r="A11" s="13" t="inlineStr">
        <is>
          <t>P-008</t>
        </is>
      </c>
      <c r="B11" s="13" t="inlineStr">
        <is>
          <t>Németh Judit</t>
        </is>
      </c>
      <c r="C11" s="13" t="inlineStr">
        <is>
          <t>Bt.</t>
        </is>
      </c>
      <c r="D11" s="13" t="inlineStr">
        <is>
          <t>Kecskemét</t>
        </is>
      </c>
      <c r="E11" s="13" t="inlineStr">
        <is>
          <t>89012345-2-07</t>
        </is>
      </c>
    </row>
    <row r="12">
      <c r="A12" s="10" t="inlineStr">
        <is>
          <t>P-009</t>
        </is>
      </c>
      <c r="B12" s="10" t="inlineStr">
        <is>
          <t>Farkas Tamás</t>
        </is>
      </c>
      <c r="C12" s="10" t="inlineStr">
        <is>
          <t>egyéni vállalkozó</t>
        </is>
      </c>
      <c r="D12" s="10" t="inlineStr">
        <is>
          <t>Székesfehérvár</t>
        </is>
      </c>
      <c r="E12" s="10" t="inlineStr">
        <is>
          <t>90123456-1-41</t>
        </is>
      </c>
    </row>
    <row r="13">
      <c r="A13" s="13" t="inlineStr">
        <is>
          <t>P-010</t>
        </is>
      </c>
      <c r="B13" s="13" t="inlineStr">
        <is>
          <t>Balogh Éva</t>
        </is>
      </c>
      <c r="C13" s="13" t="inlineStr">
        <is>
          <t>Kft.</t>
        </is>
      </c>
      <c r="D13" s="13" t="inlineStr">
        <is>
          <t>Szombathely</t>
        </is>
      </c>
      <c r="E13" s="13" t="inlineStr">
        <is>
          <t>11223344-2-01</t>
        </is>
      </c>
    </row>
    <row r="16">
      <c r="A16" s="26" t="inlineStr">
        <is>
          <t>Kategóriák</t>
        </is>
      </c>
      <c r="B16" s="26" t="inlineStr">
        <is>
          <t>ÁFA-kulcsok</t>
        </is>
      </c>
      <c r="C16" s="26" t="inlineStr">
        <is>
          <t>Fizetési módok</t>
        </is>
      </c>
      <c r="D16" s="26" t="inlineStr">
        <is>
          <t>Fizetési státuszok</t>
        </is>
      </c>
      <c r="E16" s="26" t="inlineStr">
        <is>
          <t>Bizonylat típusok</t>
        </is>
      </c>
    </row>
    <row r="17">
      <c r="A17" s="27" t="inlineStr">
        <is>
          <t>Árbevétel</t>
        </is>
      </c>
      <c r="B17" s="28" t="n">
        <v>0</v>
      </c>
      <c r="C17" s="27" t="inlineStr">
        <is>
          <t>Átutalás</t>
        </is>
      </c>
      <c r="D17" s="27" t="inlineStr">
        <is>
          <t>Fizetve</t>
        </is>
      </c>
      <c r="E17" s="27" t="inlineStr">
        <is>
          <t>Számla</t>
        </is>
      </c>
    </row>
    <row r="18">
      <c r="A18" s="27" t="inlineStr">
        <is>
          <t>Anyagköltség</t>
        </is>
      </c>
      <c r="B18" s="28" t="n">
        <v>0.05</v>
      </c>
      <c r="C18" s="27" t="inlineStr">
        <is>
          <t>Bankkártya</t>
        </is>
      </c>
      <c r="D18" s="27" t="inlineStr">
        <is>
          <t>Folyamatban</t>
        </is>
      </c>
      <c r="E18" s="27" t="inlineStr">
        <is>
          <t>Nyugta</t>
        </is>
      </c>
    </row>
    <row r="19">
      <c r="A19" s="27" t="inlineStr">
        <is>
          <t>Szolgáltatás</t>
        </is>
      </c>
      <c r="B19" s="28" t="n">
        <v>0.18</v>
      </c>
      <c r="C19" s="27" t="inlineStr">
        <is>
          <t>Készpénz</t>
        </is>
      </c>
      <c r="D19" s="27" t="inlineStr">
        <is>
          <t>Késedelmes</t>
        </is>
      </c>
      <c r="E19" s="27" t="inlineStr">
        <is>
          <t>Egyéb</t>
        </is>
      </c>
    </row>
    <row r="20">
      <c r="A20" s="27" t="inlineStr">
        <is>
          <t>Üzemanyag</t>
        </is>
      </c>
      <c r="B20" s="28" t="n">
        <v>0.27</v>
      </c>
    </row>
    <row r="21">
      <c r="A21" s="27" t="inlineStr">
        <is>
          <t>Irodaköltség</t>
        </is>
      </c>
    </row>
    <row r="22">
      <c r="A22" s="27" t="inlineStr">
        <is>
          <t>Bankköltség</t>
        </is>
      </c>
    </row>
    <row r="23">
      <c r="A23" s="27" t="inlineStr">
        <is>
          <t>Egyéb</t>
        </is>
      </c>
    </row>
    <row r="26">
      <c r="A26" s="18" t="inlineStr">
        <is>
          <t>Használati útmutató</t>
        </is>
      </c>
    </row>
    <row r="27" ht="30" customHeight="1">
      <c r="A27" s="29" t="inlineStr">
        <is>
          <t>1. Adatbevitel: minden számlát, nyugtát és egyéb bizonylatot a „Könyvelési napló” lapon, külön sorban rögzítsen. A halványsárga cellák szabadon szerkeszthetők.</t>
        </is>
      </c>
    </row>
    <row r="28" ht="30" customHeight="1">
      <c r="A28" s="29" t="inlineStr">
        <is>
          <t>2. Bizonylatszám: használjon egységes, sorszámozott bizonylatszám-rendszert (pl. 2026-001, 2026-002). A kimenő számlák sorszámainak folytonossága NAV-ellenőrzésnél kötelező.</t>
        </is>
      </c>
    </row>
    <row r="29" ht="30" customHeight="1">
      <c r="A29" s="29" t="inlineStr">
        <is>
          <t>3. ÁFA kezelése: az ÁFA-kulcsot a megfelelő oszlopban válassza (0%, 5%, 18%, 27%). Az ÁFA összege és a bruttó összeg automatikusan számítódik.</t>
        </is>
      </c>
    </row>
    <row r="30" ht="30" customHeight="1">
      <c r="A30" s="29" t="inlineStr">
        <is>
          <t>4. Levonhatóság: a „Levonható költség?” oszlopban csak a vállalkozási tevékenységhez kapcsolódó kiadásokat jelölje „Igen” értékkel – ezek ÁFA-ja vonható le.</t>
        </is>
      </c>
    </row>
    <row r="31" ht="30" customHeight="1">
      <c r="A31" s="29" t="inlineStr">
        <is>
          <t>5. Fizetési státusz: a „Késedelmes” státusz piros figyelmeztetést vált ki a segédoszlopban; készítsen fizetési felszólítást ilyen esetben.</t>
        </is>
      </c>
    </row>
    <row r="32" ht="30" customHeight="1">
      <c r="A32" s="29" t="inlineStr">
        <is>
          <t>6. NAV-bevallás előtt ellenőrizze: az ÁFA-egyenleget (fizetendő – levonható), a késedelmes tételeket, valamint a hiányzó adószámokat és dátumokat.</t>
        </is>
      </c>
    </row>
    <row r="33" ht="30" customHeight="1">
      <c r="A33" s="29" t="inlineStr">
        <is>
          <t>7. Havi zárás: az „Összesítő és dashboard” lapon tekintse át a havi bevételt, kiadást, eredményt és az ÁFA-egyenleget.</t>
        </is>
      </c>
    </row>
    <row r="34" ht="30" customHeight="1">
      <c r="A34" s="29" t="inlineStr">
        <is>
          <t>8. Partner-keresés: az Összesítő lapon az azonosító beírásával a VLOOKUP automatikusan megjeleníti a partner nevét, típusát és városát.</t>
        </is>
      </c>
    </row>
    <row r="36" ht="36" customHeight="1">
      <c r="A36" s="30" t="inlineStr">
        <is>
          <t>FONTOS: Ez a sablon tájékoztató jellegű, és NEM helyettesíti a könyvelő vagy adószakértő szakmai ellenőrzését. Bevallás előtt mindig egyeztessen könyvelőjével!</t>
        </is>
      </c>
    </row>
  </sheetData>
  <mergeCells count="10">
    <mergeCell ref="A1:F1"/>
    <mergeCell ref="A27:F27"/>
    <mergeCell ref="A28:F28"/>
    <mergeCell ref="A29:F29"/>
    <mergeCell ref="A30:F30"/>
    <mergeCell ref="A31:F31"/>
    <mergeCell ref="A32:F32"/>
    <mergeCell ref="A33:F33"/>
    <mergeCell ref="A34:F34"/>
    <mergeCell ref="A36:F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2026-08-01T05:21:43Z</dcterms:created>
  <dcterms:modified xmlns:dcterms="http://purl.org/dc/terms/" xmlns:xsi="http://www.w3.org/2001/XMLSchema-instance" xsi:type="dcterms:W3CDTF">2026-08-01T05:21:43Z</dcterms:modified>
</cp:coreProperties>
</file>