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vétel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.MM.DD."/>
    <numFmt numFmtId="165" formatCode="# ##0 &quot;Ft&quot;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0"/>
    </font>
    <font>
      <name val="Calibri"/>
      <b val="1"/>
      <color rgb="00C8102E"/>
      <sz val="11"/>
    </font>
    <font>
      <name val="Calibri"/>
      <b val="1"/>
      <color rgb="0016A34A"/>
    </font>
    <font>
      <name val="Calibri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E2E8F0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9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right" vertical="center"/>
    </xf>
    <xf numFmtId="165" fontId="2" fillId="2" borderId="1" applyAlignment="1" pivotButton="0" quotePrefix="0" xfId="0">
      <alignment horizontal="right" vertical="center"/>
    </xf>
    <xf numFmtId="0" fontId="5" fillId="6" borderId="1" pivotButton="0" quotePrefix="0" xfId="0"/>
    <xf numFmtId="0" fontId="4" fillId="3" borderId="1" applyAlignment="1" pivotButton="0" quotePrefix="0" xfId="0">
      <alignment horizontal="left" vertical="center"/>
    </xf>
    <xf numFmtId="165" fontId="6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65" fontId="6" fillId="5" borderId="1" applyAlignment="1" pivotButton="0" quotePrefix="0" xfId="0">
      <alignment horizontal="right" vertical="center"/>
    </xf>
    <xf numFmtId="9" fontId="3" fillId="5" borderId="1" applyAlignment="1" pivotButton="0" quotePrefix="0" xfId="0">
      <alignment horizontal="right" vertical="center"/>
    </xf>
    <xf numFmtId="1" fontId="3" fillId="5" borderId="1" applyAlignment="1" pivotButton="0" quotePrefix="0" xfId="0">
      <alignment horizontal="right" vertical="center"/>
    </xf>
    <xf numFmtId="1" fontId="3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3" fillId="4" borderId="1" pivotButton="0" quotePrefix="0" xfId="0"/>
    <xf numFmtId="165" fontId="3" fillId="3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" fontId="2" fillId="2" borderId="1" applyAlignment="1" pivotButton="0" quotePrefix="0" xfId="0">
      <alignment horizontal="right" vertical="center"/>
    </xf>
    <xf numFmtId="0" fontId="5" fillId="0" borderId="0" pivotButton="0" quotePrefix="0" xfId="0"/>
    <xf numFmtId="0" fontId="4" fillId="0" borderId="1" pivotButton="0" quotePrefix="0" xfId="0"/>
    <xf numFmtId="1" fontId="3" fillId="0" borderId="1" pivotButton="0" quotePrefix="0" xfId="0"/>
    <xf numFmtId="0" fontId="2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0" borderId="5" pivotButton="0" quotePrefix="0" xfId="0"/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5" fontId="2" fillId="2" borderId="1" applyAlignment="1" pivotButton="0" quotePrefix="0" xfId="0">
      <alignment horizontal="right" vertical="center"/>
    </xf>
    <xf numFmtId="165" fontId="6" fillId="3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F59E0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bruttó bevétel (2026)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'Összesítő'!D26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'Összesítő'!$A$27:$A$38</f>
            </numRef>
          </cat>
          <val>
            <numRef>
              <f>'Összesítő'!$D$27:$D$38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Bevételek státusz szerinti megoszlása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'Összesítő'!$A$44:$A$46</f>
            </numRef>
          </cat>
          <val>
            <numRef>
              <f>'Összesítő'!$B$44:$B$46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nettó bevétel trend (2026)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'Összesítő'!B26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'Összesítő'!$A$27:$A$38</f>
            </numRef>
          </cat>
          <val>
            <numRef>
              <f>'Összesítő'!$B$27:$B$38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41</row>
      <rowOff>0</rowOff>
    </from>
    <ext cx="720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61</row>
      <rowOff>0</rowOff>
    </from>
    <ext cx="576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79</row>
      <rowOff>0</rowOff>
    </from>
    <ext cx="720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20" customWidth="1" min="4" max="4"/>
    <col width="18" customWidth="1" min="5" max="5"/>
    <col width="16" customWidth="1" min="6" max="6"/>
    <col width="24" customWidth="1" min="7" max="7"/>
    <col width="18" customWidth="1" min="8" max="8"/>
    <col width="10" customWidth="1" min="9" max="9"/>
    <col width="18" customWidth="1" min="10" max="10"/>
    <col width="18" customWidth="1" min="11" max="11"/>
    <col width="15" customWidth="1" min="12" max="12"/>
    <col width="12" customWidth="1" min="13" max="13"/>
    <col width="14" customWidth="1" min="14" max="14"/>
    <col width="24" customWidth="1" min="15" max="15"/>
  </cols>
  <sheetData>
    <row r="1" ht="28" customHeight="1">
      <c r="A1" s="1" t="inlineStr">
        <is>
          <t>BEVÉTEL NYILVÁNTARTÁS – 2026</t>
        </is>
      </c>
      <c r="B1" s="40" t="n"/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37" t="n"/>
    </row>
    <row r="2" ht="28" customHeight="1">
      <c r="A2" s="2" t="inlineStr">
        <is>
          <t>Dátum</t>
        </is>
      </c>
      <c r="B2" s="2" t="inlineStr">
        <is>
          <t>Bizonylat típusa</t>
        </is>
      </c>
      <c r="C2" s="2" t="inlineStr">
        <is>
          <t>Számlaszám</t>
        </is>
      </c>
      <c r="D2" s="2" t="inlineStr">
        <is>
          <t>Partner neve</t>
        </is>
      </c>
      <c r="E2" s="2" t="inlineStr">
        <is>
          <t>Partner típusa</t>
        </is>
      </c>
      <c r="F2" s="2" t="inlineStr">
        <is>
          <t>Partner városa</t>
        </is>
      </c>
      <c r="G2" s="2" t="inlineStr">
        <is>
          <t>Tevékenység / termék</t>
        </is>
      </c>
      <c r="H2" s="2" t="inlineStr">
        <is>
          <t>Nettó összeg (Ft)</t>
        </is>
      </c>
      <c r="I2" s="2" t="inlineStr">
        <is>
          <t>ÁFA kulcs</t>
        </is>
      </c>
      <c r="J2" s="2" t="inlineStr">
        <is>
          <t>ÁFA összege (Ft)</t>
        </is>
      </c>
      <c r="K2" s="2" t="inlineStr">
        <is>
          <t>Bruttó összeg (Ft)</t>
        </is>
      </c>
      <c r="L2" s="2" t="inlineStr">
        <is>
          <t>Kifizetés módja</t>
        </is>
      </c>
      <c r="M2" s="2" t="inlineStr">
        <is>
          <t>Beérkezett?</t>
        </is>
      </c>
      <c r="N2" s="2" t="inlineStr">
        <is>
          <t>Státusz</t>
        </is>
      </c>
      <c r="O2" s="2" t="inlineStr">
        <is>
          <t>Megjegyzés</t>
        </is>
      </c>
    </row>
    <row r="3">
      <c r="A3" s="41" t="n">
        <v>46030</v>
      </c>
      <c r="B3" s="4" t="inlineStr">
        <is>
          <t>Számla</t>
        </is>
      </c>
      <c r="C3" s="4" t="inlineStr">
        <is>
          <t>SZ-2026-001</t>
        </is>
      </c>
      <c r="D3" s="5" t="inlineStr">
        <is>
          <t>Nagy Péter</t>
        </is>
      </c>
      <c r="E3" s="4" t="inlineStr">
        <is>
          <t>egyéni vállalkozó</t>
        </is>
      </c>
      <c r="F3" s="4" t="inlineStr">
        <is>
          <t>Budapest</t>
        </is>
      </c>
      <c r="G3" s="5" t="inlineStr">
        <is>
          <t>Webfejlesztés</t>
        </is>
      </c>
      <c r="H3" s="42" t="n">
        <v>285000</v>
      </c>
      <c r="I3" s="7" t="n">
        <v>0.27</v>
      </c>
      <c r="J3" s="43">
        <f>H3*I3</f>
        <v/>
      </c>
      <c r="K3" s="43">
        <f>H3+J3</f>
        <v/>
      </c>
      <c r="L3" s="4" t="inlineStr">
        <is>
          <t>átutalás</t>
        </is>
      </c>
      <c r="M3" s="9" t="inlineStr">
        <is>
          <t>igen</t>
        </is>
      </c>
      <c r="N3" s="4">
        <f>IF(M3="igen","rendezett",IF(AND(M3="nem",A3&lt;TODAY()-30),"késedelmes","nyitott"))</f>
        <v/>
      </c>
      <c r="O3" s="10" t="inlineStr"/>
    </row>
    <row r="4">
      <c r="A4" s="44" t="n">
        <v>46037</v>
      </c>
      <c r="B4" s="12" t="inlineStr">
        <is>
          <t>Számla</t>
        </is>
      </c>
      <c r="C4" s="12" t="inlineStr">
        <is>
          <t>SZ-2026-002</t>
        </is>
      </c>
      <c r="D4" s="13" t="inlineStr">
        <is>
          <t>Kovács Anna Kft.</t>
        </is>
      </c>
      <c r="E4" s="12" t="inlineStr">
        <is>
          <t>Kft.</t>
        </is>
      </c>
      <c r="F4" s="12" t="inlineStr">
        <is>
          <t>Debrecen</t>
        </is>
      </c>
      <c r="G4" s="13" t="inlineStr">
        <is>
          <t>Könyvelési szolgáltatás</t>
        </is>
      </c>
      <c r="H4" s="42" t="n">
        <v>150000</v>
      </c>
      <c r="I4" s="7" t="n">
        <v>0.27</v>
      </c>
      <c r="J4" s="45">
        <f>H4*I4</f>
        <v/>
      </c>
      <c r="K4" s="45">
        <f>H4+J4</f>
        <v/>
      </c>
      <c r="L4" s="12" t="inlineStr">
        <is>
          <t>átutalás</t>
        </is>
      </c>
      <c r="M4" s="9" t="inlineStr">
        <is>
          <t>igen</t>
        </is>
      </c>
      <c r="N4" s="12">
        <f>IF(M4="igen","rendezett",IF(AND(M4="nem",A4&lt;TODAY()-30),"késedelmes","nyitott"))</f>
        <v/>
      </c>
      <c r="O4" s="10" t="inlineStr"/>
    </row>
    <row r="5">
      <c r="A5" s="41" t="n">
        <v>46056</v>
      </c>
      <c r="B5" s="4" t="inlineStr">
        <is>
          <t>Számla</t>
        </is>
      </c>
      <c r="C5" s="4" t="inlineStr">
        <is>
          <t>SZ-2026-003</t>
        </is>
      </c>
      <c r="D5" s="5" t="inlineStr">
        <is>
          <t>Szabó Gábor Bt.</t>
        </is>
      </c>
      <c r="E5" s="4" t="inlineStr">
        <is>
          <t>Bt.</t>
        </is>
      </c>
      <c r="F5" s="4" t="inlineStr">
        <is>
          <t>Szeged</t>
        </is>
      </c>
      <c r="G5" s="5" t="inlineStr">
        <is>
          <t>Tanácsadás</t>
        </is>
      </c>
      <c r="H5" s="42" t="n">
        <v>420000</v>
      </c>
      <c r="I5" s="7" t="n">
        <v>0.27</v>
      </c>
      <c r="J5" s="43">
        <f>H5*I5</f>
        <v/>
      </c>
      <c r="K5" s="43">
        <f>H5+J5</f>
        <v/>
      </c>
      <c r="L5" s="4" t="inlineStr">
        <is>
          <t>átutalás</t>
        </is>
      </c>
      <c r="M5" s="9" t="inlineStr">
        <is>
          <t>igen</t>
        </is>
      </c>
      <c r="N5" s="4">
        <f>IF(M5="igen","rendezett",IF(AND(M5="nem",A5&lt;TODAY()-30),"késedelmes","nyitott"))</f>
        <v/>
      </c>
      <c r="O5" s="10" t="inlineStr"/>
    </row>
    <row r="6">
      <c r="A6" s="44" t="n">
        <v>46071</v>
      </c>
      <c r="B6" s="12" t="inlineStr">
        <is>
          <t>Számla</t>
        </is>
      </c>
      <c r="C6" s="12" t="inlineStr">
        <is>
          <t>SZ-2026-004</t>
        </is>
      </c>
      <c r="D6" s="13" t="inlineStr">
        <is>
          <t>Tóth Erzsébet Kft.</t>
        </is>
      </c>
      <c r="E6" s="12" t="inlineStr">
        <is>
          <t>Kft.</t>
        </is>
      </c>
      <c r="F6" s="12" t="inlineStr">
        <is>
          <t>Pécs</t>
        </is>
      </c>
      <c r="G6" s="13" t="inlineStr">
        <is>
          <t>Marketing szolgáltatás</t>
        </is>
      </c>
      <c r="H6" s="42" t="n">
        <v>320000</v>
      </c>
      <c r="I6" s="7" t="n">
        <v>0.27</v>
      </c>
      <c r="J6" s="45">
        <f>H6*I6</f>
        <v/>
      </c>
      <c r="K6" s="45">
        <f>H6+J6</f>
        <v/>
      </c>
      <c r="L6" s="12" t="inlineStr">
        <is>
          <t>átutalás</t>
        </is>
      </c>
      <c r="M6" s="9" t="inlineStr">
        <is>
          <t>nem</t>
        </is>
      </c>
      <c r="N6" s="12">
        <f>IF(M6="igen","rendezett",IF(AND(M6="nem",A6&lt;TODAY()-30),"késedelmes","nyitott"))</f>
        <v/>
      </c>
      <c r="O6" s="10" t="inlineStr"/>
    </row>
    <row r="7">
      <c r="A7" s="41" t="n">
        <v>46086</v>
      </c>
      <c r="B7" s="4" t="inlineStr">
        <is>
          <t>Számla</t>
        </is>
      </c>
      <c r="C7" s="4" t="inlineStr">
        <is>
          <t>SZ-2026-005</t>
        </is>
      </c>
      <c r="D7" s="5" t="inlineStr">
        <is>
          <t>Horváth Zoltán</t>
        </is>
      </c>
      <c r="E7" s="4" t="inlineStr">
        <is>
          <t>egyéni vállalkozó</t>
        </is>
      </c>
      <c r="F7" s="4" t="inlineStr">
        <is>
          <t>Győr</t>
        </is>
      </c>
      <c r="G7" s="5" t="inlineStr">
        <is>
          <t>Karbantartási munka</t>
        </is>
      </c>
      <c r="H7" s="42" t="n">
        <v>680000</v>
      </c>
      <c r="I7" s="7" t="n">
        <v>0.27</v>
      </c>
      <c r="J7" s="43">
        <f>H7*I7</f>
        <v/>
      </c>
      <c r="K7" s="43">
        <f>H7+J7</f>
        <v/>
      </c>
      <c r="L7" s="4" t="inlineStr">
        <is>
          <t>átutalás</t>
        </is>
      </c>
      <c r="M7" s="9" t="inlineStr">
        <is>
          <t>igen</t>
        </is>
      </c>
      <c r="N7" s="4">
        <f>IF(M7="igen","rendezett",IF(AND(M7="nem",A7&lt;TODAY()-30),"késedelmes","nyitott"))</f>
        <v/>
      </c>
      <c r="O7" s="10" t="inlineStr"/>
    </row>
    <row r="8">
      <c r="A8" s="44" t="n">
        <v>46102</v>
      </c>
      <c r="B8" s="12" t="inlineStr">
        <is>
          <t>Számla</t>
        </is>
      </c>
      <c r="C8" s="12" t="inlineStr">
        <is>
          <t>SZ-2026-006</t>
        </is>
      </c>
      <c r="D8" s="13" t="inlineStr">
        <is>
          <t>Kiss Mária Bt.</t>
        </is>
      </c>
      <c r="E8" s="12" t="inlineStr">
        <is>
          <t>Bt.</t>
        </is>
      </c>
      <c r="F8" s="12" t="inlineStr">
        <is>
          <t>Miskolc</t>
        </is>
      </c>
      <c r="G8" s="13" t="inlineStr">
        <is>
          <t>Oktatási szolgáltatás</t>
        </is>
      </c>
      <c r="H8" s="42" t="n">
        <v>85000</v>
      </c>
      <c r="I8" s="7" t="n">
        <v>0.18</v>
      </c>
      <c r="J8" s="45">
        <f>H8*I8</f>
        <v/>
      </c>
      <c r="K8" s="45">
        <f>H8+J8</f>
        <v/>
      </c>
      <c r="L8" s="12" t="inlineStr">
        <is>
          <t>készpénz</t>
        </is>
      </c>
      <c r="M8" s="9" t="inlineStr">
        <is>
          <t>igen</t>
        </is>
      </c>
      <c r="N8" s="12">
        <f>IF(M8="igen","rendezett",IF(AND(M8="nem",A8&lt;TODAY()-30),"késedelmes","nyitott"))</f>
        <v/>
      </c>
      <c r="O8" s="10" t="inlineStr"/>
    </row>
    <row r="9">
      <c r="A9" s="41" t="n">
        <v>46122</v>
      </c>
      <c r="B9" s="4" t="inlineStr">
        <is>
          <t>Számla</t>
        </is>
      </c>
      <c r="C9" s="4" t="inlineStr">
        <is>
          <t>SZ-2026-007</t>
        </is>
      </c>
      <c r="D9" s="5" t="inlineStr">
        <is>
          <t>Varga István Kft.</t>
        </is>
      </c>
      <c r="E9" s="4" t="inlineStr">
        <is>
          <t>Kft.</t>
        </is>
      </c>
      <c r="F9" s="4" t="inlineStr">
        <is>
          <t>Székesfehérvár</t>
        </is>
      </c>
      <c r="G9" s="5" t="inlineStr">
        <is>
          <t>Szoftverlicenc</t>
        </is>
      </c>
      <c r="H9" s="42" t="n">
        <v>560000</v>
      </c>
      <c r="I9" s="7" t="n">
        <v>0.27</v>
      </c>
      <c r="J9" s="43">
        <f>H9*I9</f>
        <v/>
      </c>
      <c r="K9" s="43">
        <f>H9+J9</f>
        <v/>
      </c>
      <c r="L9" s="4" t="inlineStr">
        <is>
          <t>átutalás</t>
        </is>
      </c>
      <c r="M9" s="9" t="inlineStr">
        <is>
          <t>nem</t>
        </is>
      </c>
      <c r="N9" s="4">
        <f>IF(M9="igen","rendezett",IF(AND(M9="nem",A9&lt;TODAY()-30),"késedelmes","nyitott"))</f>
        <v/>
      </c>
      <c r="O9" s="10" t="inlineStr"/>
    </row>
    <row r="10">
      <c r="A10" s="44" t="n">
        <v>46134</v>
      </c>
      <c r="B10" s="12" t="inlineStr">
        <is>
          <t>Számla</t>
        </is>
      </c>
      <c r="C10" s="12" t="inlineStr">
        <is>
          <t>SZ-2026-008</t>
        </is>
      </c>
      <c r="D10" s="13" t="inlineStr">
        <is>
          <t>Németh Judit</t>
        </is>
      </c>
      <c r="E10" s="12" t="inlineStr">
        <is>
          <t>egyéni vállalkozó</t>
        </is>
      </c>
      <c r="F10" s="12" t="inlineStr">
        <is>
          <t>Kecskemét</t>
        </is>
      </c>
      <c r="G10" s="13" t="inlineStr">
        <is>
          <t>Grafikai munka</t>
        </is>
      </c>
      <c r="H10" s="42" t="n">
        <v>125000</v>
      </c>
      <c r="I10" s="7" t="n">
        <v>0.27</v>
      </c>
      <c r="J10" s="45">
        <f>H10*I10</f>
        <v/>
      </c>
      <c r="K10" s="45">
        <f>H10+J10</f>
        <v/>
      </c>
      <c r="L10" s="12" t="inlineStr">
        <is>
          <t>átutalás</t>
        </is>
      </c>
      <c r="M10" s="9" t="inlineStr">
        <is>
          <t>igen</t>
        </is>
      </c>
      <c r="N10" s="12">
        <f>IF(M10="igen","rendezett",IF(AND(M10="nem",A10&lt;TODAY()-30),"késedelmes","nyitott"))</f>
        <v/>
      </c>
      <c r="O10" s="10" t="inlineStr"/>
    </row>
    <row r="11" ht="18" customHeight="1">
      <c r="A11" s="41" t="n">
        <v>46148</v>
      </c>
      <c r="B11" s="4" t="inlineStr">
        <is>
          <t>Számla</t>
        </is>
      </c>
      <c r="C11" s="4" t="inlineStr">
        <is>
          <t>SZ-2026-009</t>
        </is>
      </c>
      <c r="D11" s="5" t="inlineStr">
        <is>
          <t>Farkas Tamás Bt.</t>
        </is>
      </c>
      <c r="E11" s="4" t="inlineStr">
        <is>
          <t>Bt.</t>
        </is>
      </c>
      <c r="F11" s="4" t="inlineStr">
        <is>
          <t>Szombathely</t>
        </is>
      </c>
      <c r="G11" s="5" t="inlineStr">
        <is>
          <t>Bérleti díj / szolgáltatási díj</t>
        </is>
      </c>
      <c r="H11" s="42" t="n">
        <v>240000</v>
      </c>
      <c r="I11" s="7" t="n">
        <v>0.05</v>
      </c>
      <c r="J11" s="43">
        <f>H11*I11</f>
        <v/>
      </c>
      <c r="K11" s="43">
        <f>H11+J11</f>
        <v/>
      </c>
      <c r="L11" s="4" t="inlineStr">
        <is>
          <t>átutalás</t>
        </is>
      </c>
      <c r="M11" s="9" t="inlineStr">
        <is>
          <t>nem</t>
        </is>
      </c>
      <c r="N11" s="4">
        <f>IF(M11="igen","rendezett",IF(AND(M11="nem",A11&lt;TODAY()-30),"késedelmes","nyitott"))</f>
        <v/>
      </c>
      <c r="O11" s="10" t="inlineStr"/>
    </row>
    <row r="12">
      <c r="G12" s="15" t="inlineStr">
        <is>
          <t>ÖSSZESEN:</t>
        </is>
      </c>
      <c r="H12" s="46">
        <f>SUM(H3:H11)</f>
        <v/>
      </c>
      <c r="J12" s="46">
        <f>SUM(J3:J11)</f>
        <v/>
      </c>
      <c r="K12" s="46">
        <f>SUM(K3:K11)</f>
        <v/>
      </c>
    </row>
  </sheetData>
  <mergeCells count="1">
    <mergeCell ref="A1:O1"/>
  </mergeCells>
  <conditionalFormatting sqref="N3:N200">
    <cfRule type="expression" priority="1" dxfId="0" stopIfTrue="1">
      <formula>$N3="késedelmes"</formula>
    </cfRule>
    <cfRule type="expression" priority="2" dxfId="1" stopIfTrue="1">
      <formula>$N3="rendezett"</formula>
    </cfRule>
    <cfRule type="expression" priority="3" dxfId="2" stopIfTrue="1">
      <formula>$N3="nyitott"</formula>
    </cfRule>
  </conditionalFormatting>
  <dataValidations count="4">
    <dataValidation sqref="M3:M200" showErrorMessage="1" showDropDown="0" showInputMessage="1" allowBlank="1" type="list">
      <formula1>"igen,nem"</formula1>
    </dataValidation>
    <dataValidation sqref="L3:L200" showErrorMessage="1" showDropDown="0" showInputMessage="1" allowBlank="1" type="list">
      <formula1>"átutalás,készpénz,bankkártya,csekk"</formula1>
    </dataValidation>
    <dataValidation sqref="I3:I200" showErrorMessage="1" showDropDown="0" showInputMessage="1" allowBlank="1" type="list">
      <formula1>"0.27,0.18,0.05,0"</formula1>
    </dataValidation>
    <dataValidation sqref="B3:B200" showErrorMessage="1" showDropDown="0" showInputMessage="1" allowBlank="1" type="list">
      <formula1>"Számla,Nyugta,Díjbekérő,Előlegszámla"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18" customWidth="1" min="3" max="3"/>
    <col width="18" customWidth="1" min="4" max="4"/>
    <col width="18" customWidth="1" min="5" max="5"/>
    <col width="16" customWidth="1" min="6" max="6"/>
    <col width="20" customWidth="1" min="7" max="7"/>
    <col width="18" customWidth="1" min="8" max="8"/>
  </cols>
  <sheetData>
    <row r="1" ht="30" customHeight="1">
      <c r="A1" s="1" t="inlineStr">
        <is>
          <t>BEVÉTEL ÖSSZESÍTŐ – 2026</t>
        </is>
      </c>
      <c r="B1" s="40" t="n"/>
      <c r="C1" s="40" t="n"/>
      <c r="D1" s="40" t="n"/>
      <c r="E1" s="40" t="n"/>
      <c r="F1" s="40" t="n"/>
      <c r="G1" s="40" t="n"/>
      <c r="H1" s="37" t="n"/>
    </row>
    <row r="2"/>
    <row r="3" ht="22" customHeight="1">
      <c r="A3" s="17" t="inlineStr">
        <is>
          <t>KULCSMUTATÓK</t>
        </is>
      </c>
    </row>
    <row r="4" ht="20" customHeight="1">
      <c r="A4" s="18" t="inlineStr">
        <is>
          <t>Összes nettó bevétel:</t>
        </is>
      </c>
      <c r="B4" s="47">
        <f>SUM(Bevételek!H3:H11)</f>
        <v/>
      </c>
    </row>
    <row r="5" ht="20" customHeight="1">
      <c r="A5" s="20" t="inlineStr">
        <is>
          <t>Összes ÁFA:</t>
        </is>
      </c>
      <c r="B5" s="48">
        <f>SUM(Bevételek!J3:J11)</f>
        <v/>
      </c>
    </row>
    <row r="6" ht="20" customHeight="1">
      <c r="A6" s="18" t="inlineStr">
        <is>
          <t>Összes bruttó bevétel:</t>
        </is>
      </c>
      <c r="B6" s="47">
        <f>SUM(Bevételek!K3:K11)</f>
        <v/>
      </c>
    </row>
    <row r="7" ht="20" customHeight="1">
      <c r="A7" s="20" t="inlineStr">
        <is>
          <t>Beérkezett bruttó összeg:</t>
        </is>
      </c>
      <c r="B7" s="48">
        <f>SUMIF(Bevételek!M3:M11,"igen",Bevételek!K3:K11)</f>
        <v/>
      </c>
    </row>
    <row r="8" ht="20" customHeight="1">
      <c r="A8" s="18" t="inlineStr">
        <is>
          <t>Kintlévőség (nem beérkezett):</t>
        </is>
      </c>
      <c r="B8" s="47">
        <f>SUMIF(Bevételek!M3:M11,"nem",Bevételek!K3:K11)</f>
        <v/>
      </c>
    </row>
    <row r="9" ht="20" customHeight="1">
      <c r="A9" s="20" t="inlineStr">
        <is>
          <t>Beérkezett arány:</t>
        </is>
      </c>
      <c r="B9" s="22">
        <f>IFERROR(SUMIF(Bevételek!M3:M11,"igen",Bevételek!K3:K11)/SUM(Bevételek!K3:K11),0)</f>
        <v/>
      </c>
    </row>
    <row r="10" ht="20" customHeight="1">
      <c r="A10" s="18" t="inlineStr">
        <is>
          <t>Átlagos nettó bevétel / tétel:</t>
        </is>
      </c>
      <c r="B10" s="47">
        <f>IFERROR(AVERAGE(Bevételek!H3:H11),0)</f>
        <v/>
      </c>
    </row>
    <row r="11" ht="20" customHeight="1">
      <c r="A11" s="20" t="inlineStr">
        <is>
          <t>Rendezett tételek száma:</t>
        </is>
      </c>
      <c r="B11" s="23">
        <f>COUNTIF(Bevételek!N3:N11,"rendezett")</f>
        <v/>
      </c>
    </row>
    <row r="12" ht="20" customHeight="1">
      <c r="A12" s="18" t="inlineStr">
        <is>
          <t>Nyitott tételek száma:</t>
        </is>
      </c>
      <c r="B12" s="24">
        <f>COUNTIF(Bevételek!N3:N11,"nyitott")</f>
        <v/>
      </c>
    </row>
    <row r="13" ht="20" customHeight="1">
      <c r="A13" s="20" t="inlineStr">
        <is>
          <t>Késedelmes tételek száma:</t>
        </is>
      </c>
      <c r="B13" s="23">
        <f>COUNTIF(Bevételek!N3:N11,"késedelmes")</f>
        <v/>
      </c>
    </row>
    <row r="14" ht="20" customHeight="1">
      <c r="A14" s="18" t="inlineStr">
        <is>
          <t>Összes tételszám:</t>
        </is>
      </c>
      <c r="B14" s="24">
        <f>COUNTA(Bevételek!C3:C11)</f>
        <v/>
      </c>
    </row>
    <row r="15"/>
    <row r="16"/>
    <row r="17" ht="22" customHeight="1">
      <c r="A17" s="17" t="inlineStr">
        <is>
          <t>SZÁMLA KERESÉS</t>
        </is>
      </c>
    </row>
    <row r="18">
      <c r="A18" s="25" t="inlineStr">
        <is>
          <t>Keresett számlaszám:</t>
        </is>
      </c>
      <c r="B18" s="26" t="inlineStr">
        <is>
          <t>SZ-2026-001</t>
        </is>
      </c>
    </row>
    <row r="19">
      <c r="A19" s="20" t="inlineStr">
        <is>
          <t>Partner neve:</t>
        </is>
      </c>
      <c r="B19" s="13">
        <f>IFERROR(VLOOKUP(B18,Bevételek!C3:O11,2,0),"– nem található –")</f>
        <v/>
      </c>
    </row>
    <row r="20">
      <c r="A20" s="18" t="inlineStr">
        <is>
          <t>Nettó összeg:</t>
        </is>
      </c>
      <c r="B20" s="49">
        <f>IFERROR(VLOOKUP(B18,Bevételek!C3:O11,6,0),0)</f>
        <v/>
      </c>
    </row>
    <row r="21">
      <c r="A21" s="20" t="inlineStr">
        <is>
          <t>Bruttó összeg:</t>
        </is>
      </c>
      <c r="B21" s="50">
        <f>IFERROR(VLOOKUP(B18,Bevételek!C3:O11,9,0),0)</f>
        <v/>
      </c>
    </row>
    <row r="22">
      <c r="A22" s="18" t="inlineStr">
        <is>
          <t>Státusz:</t>
        </is>
      </c>
      <c r="B22" s="5">
        <f>IFERROR(VLOOKUP(B18,Bevételek!C3:O11,12,0),"–")</f>
        <v/>
      </c>
    </row>
    <row r="23"/>
    <row r="24"/>
    <row r="25" ht="22" customHeight="1">
      <c r="A25" s="17" t="inlineStr">
        <is>
          <t>HAVI ÖSSZESÍTŐ</t>
        </is>
      </c>
    </row>
    <row r="26" ht="22" customHeight="1">
      <c r="A26" s="29" t="inlineStr">
        <is>
          <t>Hónap</t>
        </is>
      </c>
      <c r="B26" s="29" t="inlineStr">
        <is>
          <t>Nettó bevétel</t>
        </is>
      </c>
      <c r="C26" s="29" t="inlineStr">
        <is>
          <t>ÁFA összeg</t>
        </is>
      </c>
      <c r="D26" s="29" t="inlineStr">
        <is>
          <t>Bruttó bevétel</t>
        </is>
      </c>
      <c r="E26" s="29" t="inlineStr">
        <is>
          <t>Tételek száma</t>
        </is>
      </c>
      <c r="F26" s="29" t="inlineStr">
        <is>
          <t>Rendezett tételek</t>
        </is>
      </c>
    </row>
    <row r="27" ht="18" customHeight="1">
      <c r="A27" s="30" t="inlineStr">
        <is>
          <t>Január</t>
        </is>
      </c>
      <c r="B27" s="43">
        <f>IFERROR(SUMIFS(Bevételek!H3:H11,Bevételek!A3:A11,"&gt;="&amp;DATE(2026,1,1),Bevételek!A3:A11,"&lt;"&amp;DATE(2026,2,1)),0)</f>
        <v/>
      </c>
      <c r="C27" s="43">
        <f>IFERROR(SUMIFS(Bevételek!J3:J11,Bevételek!A3:A11,"&gt;="&amp;DATE(2026,1,1),Bevételek!A3:A11,"&lt;"&amp;DATE(2026,2,1)),0)</f>
        <v/>
      </c>
      <c r="D27" s="43">
        <f>IFERROR(SUMIFS(Bevételek!K3:K11,Bevételek!A3:A11,"&gt;="&amp;DATE(2026,1,1),Bevételek!A3:A11,"&lt;"&amp;DATE(2026,2,1)),0)</f>
        <v/>
      </c>
      <c r="E27" s="24">
        <f>IFERROR(COUNTIFS(Bevételek!A3:A11,"&gt;="&amp;DATE(2026,1,1),Bevételek!A3:A11,"&lt;"&amp;DATE(2026,2,1)),0)</f>
        <v/>
      </c>
      <c r="F27" s="24">
        <f>IFERROR(COUNTIFS(Bevételek!A3:A11,"&gt;="&amp;DATE(2026,1,1),Bevételek!A3:A11,"&lt;"&amp;DATE(2026,2,1),Bevételek!N3:N11,"rendezett"),0)</f>
        <v/>
      </c>
    </row>
    <row r="28" ht="18" customHeight="1">
      <c r="A28" s="31" t="inlineStr">
        <is>
          <t>Február</t>
        </is>
      </c>
      <c r="B28" s="45">
        <f>IFERROR(SUMIFS(Bevételek!H3:H11,Bevételek!A3:A11,"&gt;="&amp;DATE(2026,2,1),Bevételek!A3:A11,"&lt;"&amp;DATE(2026,3,1)),0)</f>
        <v/>
      </c>
      <c r="C28" s="45">
        <f>IFERROR(SUMIFS(Bevételek!J3:J11,Bevételek!A3:A11,"&gt;="&amp;DATE(2026,2,1),Bevételek!A3:A11,"&lt;"&amp;DATE(2026,3,1)),0)</f>
        <v/>
      </c>
      <c r="D28" s="45">
        <f>IFERROR(SUMIFS(Bevételek!K3:K11,Bevételek!A3:A11,"&gt;="&amp;DATE(2026,2,1),Bevételek!A3:A11,"&lt;"&amp;DATE(2026,3,1)),0)</f>
        <v/>
      </c>
      <c r="E28" s="23">
        <f>IFERROR(COUNTIFS(Bevételek!A3:A11,"&gt;="&amp;DATE(2026,2,1),Bevételek!A3:A11,"&lt;"&amp;DATE(2026,3,1)),0)</f>
        <v/>
      </c>
      <c r="F28" s="23">
        <f>IFERROR(COUNTIFS(Bevételek!A3:A11,"&gt;="&amp;DATE(2026,2,1),Bevételek!A3:A11,"&lt;"&amp;DATE(2026,3,1),Bevételek!N3:N11,"rendezett"),0)</f>
        <v/>
      </c>
    </row>
    <row r="29" ht="18" customHeight="1">
      <c r="A29" s="30" t="inlineStr">
        <is>
          <t>Március</t>
        </is>
      </c>
      <c r="B29" s="43">
        <f>IFERROR(SUMIFS(Bevételek!H3:H11,Bevételek!A3:A11,"&gt;="&amp;DATE(2026,3,1),Bevételek!A3:A11,"&lt;"&amp;DATE(2026,4,1)),0)</f>
        <v/>
      </c>
      <c r="C29" s="43">
        <f>IFERROR(SUMIFS(Bevételek!J3:J11,Bevételek!A3:A11,"&gt;="&amp;DATE(2026,3,1),Bevételek!A3:A11,"&lt;"&amp;DATE(2026,4,1)),0)</f>
        <v/>
      </c>
      <c r="D29" s="43">
        <f>IFERROR(SUMIFS(Bevételek!K3:K11,Bevételek!A3:A11,"&gt;="&amp;DATE(2026,3,1),Bevételek!A3:A11,"&lt;"&amp;DATE(2026,4,1)),0)</f>
        <v/>
      </c>
      <c r="E29" s="24">
        <f>IFERROR(COUNTIFS(Bevételek!A3:A11,"&gt;="&amp;DATE(2026,3,1),Bevételek!A3:A11,"&lt;"&amp;DATE(2026,4,1)),0)</f>
        <v/>
      </c>
      <c r="F29" s="24">
        <f>IFERROR(COUNTIFS(Bevételek!A3:A11,"&gt;="&amp;DATE(2026,3,1),Bevételek!A3:A11,"&lt;"&amp;DATE(2026,4,1),Bevételek!N3:N11,"rendezett"),0)</f>
        <v/>
      </c>
    </row>
    <row r="30" ht="18" customHeight="1">
      <c r="A30" s="31" t="inlineStr">
        <is>
          <t>Április</t>
        </is>
      </c>
      <c r="B30" s="45">
        <f>IFERROR(SUMIFS(Bevételek!H3:H11,Bevételek!A3:A11,"&gt;="&amp;DATE(2026,4,1),Bevételek!A3:A11,"&lt;"&amp;DATE(2026,5,1)),0)</f>
        <v/>
      </c>
      <c r="C30" s="45">
        <f>IFERROR(SUMIFS(Bevételek!J3:J11,Bevételek!A3:A11,"&gt;="&amp;DATE(2026,4,1),Bevételek!A3:A11,"&lt;"&amp;DATE(2026,5,1)),0)</f>
        <v/>
      </c>
      <c r="D30" s="45">
        <f>IFERROR(SUMIFS(Bevételek!K3:K11,Bevételek!A3:A11,"&gt;="&amp;DATE(2026,4,1),Bevételek!A3:A11,"&lt;"&amp;DATE(2026,5,1)),0)</f>
        <v/>
      </c>
      <c r="E30" s="23">
        <f>IFERROR(COUNTIFS(Bevételek!A3:A11,"&gt;="&amp;DATE(2026,4,1),Bevételek!A3:A11,"&lt;"&amp;DATE(2026,5,1)),0)</f>
        <v/>
      </c>
      <c r="F30" s="23">
        <f>IFERROR(COUNTIFS(Bevételek!A3:A11,"&gt;="&amp;DATE(2026,4,1),Bevételek!A3:A11,"&lt;"&amp;DATE(2026,5,1),Bevételek!N3:N11,"rendezett"),0)</f>
        <v/>
      </c>
    </row>
    <row r="31" ht="18" customHeight="1">
      <c r="A31" s="30" t="inlineStr">
        <is>
          <t>Május</t>
        </is>
      </c>
      <c r="B31" s="43">
        <f>IFERROR(SUMIFS(Bevételek!H3:H11,Bevételek!A3:A11,"&gt;="&amp;DATE(2026,5,1),Bevételek!A3:A11,"&lt;"&amp;DATE(2026,6,1)),0)</f>
        <v/>
      </c>
      <c r="C31" s="43">
        <f>IFERROR(SUMIFS(Bevételek!J3:J11,Bevételek!A3:A11,"&gt;="&amp;DATE(2026,5,1),Bevételek!A3:A11,"&lt;"&amp;DATE(2026,6,1)),0)</f>
        <v/>
      </c>
      <c r="D31" s="43">
        <f>IFERROR(SUMIFS(Bevételek!K3:K11,Bevételek!A3:A11,"&gt;="&amp;DATE(2026,5,1),Bevételek!A3:A11,"&lt;"&amp;DATE(2026,6,1)),0)</f>
        <v/>
      </c>
      <c r="E31" s="24">
        <f>IFERROR(COUNTIFS(Bevételek!A3:A11,"&gt;="&amp;DATE(2026,5,1),Bevételek!A3:A11,"&lt;"&amp;DATE(2026,6,1)),0)</f>
        <v/>
      </c>
      <c r="F31" s="24">
        <f>IFERROR(COUNTIFS(Bevételek!A3:A11,"&gt;="&amp;DATE(2026,5,1),Bevételek!A3:A11,"&lt;"&amp;DATE(2026,6,1),Bevételek!N3:N11,"rendezett"),0)</f>
        <v/>
      </c>
    </row>
    <row r="32" ht="18" customHeight="1">
      <c r="A32" s="31" t="inlineStr">
        <is>
          <t>Június</t>
        </is>
      </c>
      <c r="B32" s="45">
        <f>IFERROR(SUMIFS(Bevételek!H3:H11,Bevételek!A3:A11,"&gt;="&amp;DATE(2026,6,1),Bevételek!A3:A11,"&lt;"&amp;DATE(2026,7,1)),0)</f>
        <v/>
      </c>
      <c r="C32" s="45">
        <f>IFERROR(SUMIFS(Bevételek!J3:J11,Bevételek!A3:A11,"&gt;="&amp;DATE(2026,6,1),Bevételek!A3:A11,"&lt;"&amp;DATE(2026,7,1)),0)</f>
        <v/>
      </c>
      <c r="D32" s="45">
        <f>IFERROR(SUMIFS(Bevételek!K3:K11,Bevételek!A3:A11,"&gt;="&amp;DATE(2026,6,1),Bevételek!A3:A11,"&lt;"&amp;DATE(2026,7,1)),0)</f>
        <v/>
      </c>
      <c r="E32" s="23">
        <f>IFERROR(COUNTIFS(Bevételek!A3:A11,"&gt;="&amp;DATE(2026,6,1),Bevételek!A3:A11,"&lt;"&amp;DATE(2026,7,1)),0)</f>
        <v/>
      </c>
      <c r="F32" s="23">
        <f>IFERROR(COUNTIFS(Bevételek!A3:A11,"&gt;="&amp;DATE(2026,6,1),Bevételek!A3:A11,"&lt;"&amp;DATE(2026,7,1),Bevételek!N3:N11,"rendezett"),0)</f>
        <v/>
      </c>
    </row>
    <row r="33" ht="18" customHeight="1">
      <c r="A33" s="30" t="inlineStr">
        <is>
          <t>Július</t>
        </is>
      </c>
      <c r="B33" s="43">
        <f>IFERROR(SUMIFS(Bevételek!H3:H11,Bevételek!A3:A11,"&gt;="&amp;DATE(2026,7,1),Bevételek!A3:A11,"&lt;"&amp;DATE(2026,8,1)),0)</f>
        <v/>
      </c>
      <c r="C33" s="43">
        <f>IFERROR(SUMIFS(Bevételek!J3:J11,Bevételek!A3:A11,"&gt;="&amp;DATE(2026,7,1),Bevételek!A3:A11,"&lt;"&amp;DATE(2026,8,1)),0)</f>
        <v/>
      </c>
      <c r="D33" s="43">
        <f>IFERROR(SUMIFS(Bevételek!K3:K11,Bevételek!A3:A11,"&gt;="&amp;DATE(2026,7,1),Bevételek!A3:A11,"&lt;"&amp;DATE(2026,8,1)),0)</f>
        <v/>
      </c>
      <c r="E33" s="24">
        <f>IFERROR(COUNTIFS(Bevételek!A3:A11,"&gt;="&amp;DATE(2026,7,1),Bevételek!A3:A11,"&lt;"&amp;DATE(2026,8,1)),0)</f>
        <v/>
      </c>
      <c r="F33" s="24">
        <f>IFERROR(COUNTIFS(Bevételek!A3:A11,"&gt;="&amp;DATE(2026,7,1),Bevételek!A3:A11,"&lt;"&amp;DATE(2026,8,1),Bevételek!N3:N11,"rendezett"),0)</f>
        <v/>
      </c>
    </row>
    <row r="34" ht="18" customHeight="1">
      <c r="A34" s="31" t="inlineStr">
        <is>
          <t>Augusztus</t>
        </is>
      </c>
      <c r="B34" s="45">
        <f>IFERROR(SUMIFS(Bevételek!H3:H11,Bevételek!A3:A11,"&gt;="&amp;DATE(2026,8,1),Bevételek!A3:A11,"&lt;"&amp;DATE(2026,9,1)),0)</f>
        <v/>
      </c>
      <c r="C34" s="45">
        <f>IFERROR(SUMIFS(Bevételek!J3:J11,Bevételek!A3:A11,"&gt;="&amp;DATE(2026,8,1),Bevételek!A3:A11,"&lt;"&amp;DATE(2026,9,1)),0)</f>
        <v/>
      </c>
      <c r="D34" s="45">
        <f>IFERROR(SUMIFS(Bevételek!K3:K11,Bevételek!A3:A11,"&gt;="&amp;DATE(2026,8,1),Bevételek!A3:A11,"&lt;"&amp;DATE(2026,9,1)),0)</f>
        <v/>
      </c>
      <c r="E34" s="23">
        <f>IFERROR(COUNTIFS(Bevételek!A3:A11,"&gt;="&amp;DATE(2026,8,1),Bevételek!A3:A11,"&lt;"&amp;DATE(2026,9,1)),0)</f>
        <v/>
      </c>
      <c r="F34" s="23">
        <f>IFERROR(COUNTIFS(Bevételek!A3:A11,"&gt;="&amp;DATE(2026,8,1),Bevételek!A3:A11,"&lt;"&amp;DATE(2026,9,1),Bevételek!N3:N11,"rendezett"),0)</f>
        <v/>
      </c>
    </row>
    <row r="35" ht="18" customHeight="1">
      <c r="A35" s="30" t="inlineStr">
        <is>
          <t>Szeptember</t>
        </is>
      </c>
      <c r="B35" s="43">
        <f>IFERROR(SUMIFS(Bevételek!H3:H11,Bevételek!A3:A11,"&gt;="&amp;DATE(2026,9,1),Bevételek!A3:A11,"&lt;"&amp;DATE(2026,10,1)),0)</f>
        <v/>
      </c>
      <c r="C35" s="43">
        <f>IFERROR(SUMIFS(Bevételek!J3:J11,Bevételek!A3:A11,"&gt;="&amp;DATE(2026,9,1),Bevételek!A3:A11,"&lt;"&amp;DATE(2026,10,1)),0)</f>
        <v/>
      </c>
      <c r="D35" s="43">
        <f>IFERROR(SUMIFS(Bevételek!K3:K11,Bevételek!A3:A11,"&gt;="&amp;DATE(2026,9,1),Bevételek!A3:A11,"&lt;"&amp;DATE(2026,10,1)),0)</f>
        <v/>
      </c>
      <c r="E35" s="24">
        <f>IFERROR(COUNTIFS(Bevételek!A3:A11,"&gt;="&amp;DATE(2026,9,1),Bevételek!A3:A11,"&lt;"&amp;DATE(2026,10,1)),0)</f>
        <v/>
      </c>
      <c r="F35" s="24">
        <f>IFERROR(COUNTIFS(Bevételek!A3:A11,"&gt;="&amp;DATE(2026,9,1),Bevételek!A3:A11,"&lt;"&amp;DATE(2026,10,1),Bevételek!N3:N11,"rendezett"),0)</f>
        <v/>
      </c>
    </row>
    <row r="36" ht="18" customHeight="1">
      <c r="A36" s="31" t="inlineStr">
        <is>
          <t>Október</t>
        </is>
      </c>
      <c r="B36" s="45">
        <f>IFERROR(SUMIFS(Bevételek!H3:H11,Bevételek!A3:A11,"&gt;="&amp;DATE(2026,10,1),Bevételek!A3:A11,"&lt;"&amp;DATE(2026,11,1)),0)</f>
        <v/>
      </c>
      <c r="C36" s="45">
        <f>IFERROR(SUMIFS(Bevételek!J3:J11,Bevételek!A3:A11,"&gt;="&amp;DATE(2026,10,1),Bevételek!A3:A11,"&lt;"&amp;DATE(2026,11,1)),0)</f>
        <v/>
      </c>
      <c r="D36" s="45">
        <f>IFERROR(SUMIFS(Bevételek!K3:K11,Bevételek!A3:A11,"&gt;="&amp;DATE(2026,10,1),Bevételek!A3:A11,"&lt;"&amp;DATE(2026,11,1)),0)</f>
        <v/>
      </c>
      <c r="E36" s="23">
        <f>IFERROR(COUNTIFS(Bevételek!A3:A11,"&gt;="&amp;DATE(2026,10,1),Bevételek!A3:A11,"&lt;"&amp;DATE(2026,11,1)),0)</f>
        <v/>
      </c>
      <c r="F36" s="23">
        <f>IFERROR(COUNTIFS(Bevételek!A3:A11,"&gt;="&amp;DATE(2026,10,1),Bevételek!A3:A11,"&lt;"&amp;DATE(2026,11,1),Bevételek!N3:N11,"rendezett"),0)</f>
        <v/>
      </c>
    </row>
    <row r="37" ht="18" customHeight="1">
      <c r="A37" s="30" t="inlineStr">
        <is>
          <t>November</t>
        </is>
      </c>
      <c r="B37" s="43">
        <f>IFERROR(SUMIFS(Bevételek!H3:H11,Bevételek!A3:A11,"&gt;="&amp;DATE(2026,11,1),Bevételek!A3:A11,"&lt;"&amp;DATE(2026,12,1)),0)</f>
        <v/>
      </c>
      <c r="C37" s="43">
        <f>IFERROR(SUMIFS(Bevételek!J3:J11,Bevételek!A3:A11,"&gt;="&amp;DATE(2026,11,1),Bevételek!A3:A11,"&lt;"&amp;DATE(2026,12,1)),0)</f>
        <v/>
      </c>
      <c r="D37" s="43">
        <f>IFERROR(SUMIFS(Bevételek!K3:K11,Bevételek!A3:A11,"&gt;="&amp;DATE(2026,11,1),Bevételek!A3:A11,"&lt;"&amp;DATE(2026,12,1)),0)</f>
        <v/>
      </c>
      <c r="E37" s="24">
        <f>IFERROR(COUNTIFS(Bevételek!A3:A11,"&gt;="&amp;DATE(2026,11,1),Bevételek!A3:A11,"&lt;"&amp;DATE(2026,12,1)),0)</f>
        <v/>
      </c>
      <c r="F37" s="24">
        <f>IFERROR(COUNTIFS(Bevételek!A3:A11,"&gt;="&amp;DATE(2026,11,1),Bevételek!A3:A11,"&lt;"&amp;DATE(2026,12,1),Bevételek!N3:N11,"rendezett"),0)</f>
        <v/>
      </c>
    </row>
    <row r="38" ht="18" customHeight="1">
      <c r="A38" s="31" t="inlineStr">
        <is>
          <t>December</t>
        </is>
      </c>
      <c r="B38" s="45">
        <f>IFERROR(SUMIFS(Bevételek!H3:H11,Bevételek!A3:A11,"&gt;="&amp;DATE(2026,12,1),Bevételek!A3:A11,"&lt;"&amp;DATE(2026,13,1)),0)</f>
        <v/>
      </c>
      <c r="C38" s="45">
        <f>IFERROR(SUMIFS(Bevételek!J3:J11,Bevételek!A3:A11,"&gt;="&amp;DATE(2026,12,1),Bevételek!A3:A11,"&lt;"&amp;DATE(2026,13,1)),0)</f>
        <v/>
      </c>
      <c r="D38" s="45">
        <f>IFERROR(SUMIFS(Bevételek!K3:K11,Bevételek!A3:A11,"&gt;="&amp;DATE(2026,12,1),Bevételek!A3:A11,"&lt;"&amp;DATE(2026,13,1)),0)</f>
        <v/>
      </c>
      <c r="E38" s="23">
        <f>IFERROR(COUNTIFS(Bevételek!A3:A11,"&gt;="&amp;DATE(2026,12,1),Bevételek!A3:A11,"&lt;"&amp;DATE(2026,13,1)),0)</f>
        <v/>
      </c>
      <c r="F38" s="23">
        <f>IFERROR(COUNTIFS(Bevételek!A3:A11,"&gt;="&amp;DATE(2026,12,1),Bevételek!A3:A11,"&lt;"&amp;DATE(2026,13,1),Bevételek!N3:N11,"rendezett"),0)</f>
        <v/>
      </c>
    </row>
    <row r="39">
      <c r="A39" s="2" t="inlineStr">
        <is>
          <t>ÖSSZESEN</t>
        </is>
      </c>
      <c r="B39" s="46">
        <f>SUM(B27:B38)</f>
        <v/>
      </c>
      <c r="C39" s="46">
        <f>SUM(C27:C38)</f>
        <v/>
      </c>
      <c r="D39" s="46">
        <f>SUM(D27:D38)</f>
        <v/>
      </c>
      <c r="E39" s="32">
        <f>SUM(E27:E38)</f>
        <v/>
      </c>
      <c r="F39" s="32">
        <f>SUM(F27:F38)</f>
        <v/>
      </c>
    </row>
    <row r="40"/>
    <row r="41"/>
    <row r="42"/>
    <row r="43">
      <c r="A43" s="33" t="inlineStr">
        <is>
          <t>Státusz megoszlás</t>
        </is>
      </c>
    </row>
    <row r="44">
      <c r="A44" s="34" t="inlineStr">
        <is>
          <t>Rendezett</t>
        </is>
      </c>
      <c r="B44" s="35">
        <f>COUNTIF(Bevételek!N3:N11,"rendezett")</f>
        <v/>
      </c>
    </row>
    <row r="45">
      <c r="A45" s="34" t="inlineStr">
        <is>
          <t>Nyitott</t>
        </is>
      </c>
      <c r="B45" s="35">
        <f>COUNTIF(Bevételek!N3:N11,"nyitott")</f>
        <v/>
      </c>
    </row>
    <row r="46">
      <c r="A46" s="34" t="inlineStr">
        <is>
          <t>Késedelmes</t>
        </is>
      </c>
      <c r="B46" s="35">
        <f>COUNTIF(Bevételek!N3:N11,"késedelmes")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0" customWidth="1" min="2" max="2"/>
  </cols>
  <sheetData>
    <row r="1" ht="30" customHeight="1">
      <c r="A1" s="1" t="inlineStr">
        <is>
          <t>BEVÉTEL NYILVÁNTARTÁS – HASZNÁLATI ÚTMUTATÓ</t>
        </is>
      </c>
      <c r="B1" s="37" t="n"/>
    </row>
    <row r="2"/>
    <row r="3" ht="22" customHeight="1">
      <c r="A3" s="36" t="inlineStr">
        <is>
          <t>ÁLTALÁNOS LEÍRÁS</t>
        </is>
      </c>
      <c r="B3" s="37" t="n"/>
    </row>
    <row r="4" ht="30" customHeight="1">
      <c r="A4" s="18" t="inlineStr">
        <is>
          <t>Munkafüzet célja:</t>
        </is>
      </c>
      <c r="B4" s="38" t="inlineStr">
        <is>
          <t>Ez a sablon magyar vállalkozások (Kft., Bt., egyéni vállalkozó) számára készült bevétel-nyilvántartásra. Rögzítheti a kiállított számlák adatait, követheti a beérkezést és az összesítéseket automatikusan számítja.</t>
        </is>
      </c>
    </row>
    <row r="5" ht="8" customHeight="1"/>
    <row r="6" ht="22" customHeight="1">
      <c r="A6" s="36" t="inlineStr">
        <is>
          <t>BEVÉTELEK MUNKALAP</t>
        </is>
      </c>
      <c r="B6" s="37" t="n"/>
    </row>
    <row r="7" ht="30" customHeight="1">
      <c r="A7" s="20" t="inlineStr">
        <is>
          <t>Új sor felvitele:</t>
        </is>
      </c>
      <c r="B7" s="39" t="inlineStr">
        <is>
          <t>Az adatbeviteli területen (3. sortól lefelé) vigyen fel minden egyes bevételi tételt egy sorba. Töltse ki az összes sárga (halvány sárga) beviteli cellát: Dátum, Nettó összeg, ÁFA kulcs, Kifizetés módja, Beérkezett?.</t>
        </is>
      </c>
    </row>
    <row r="8" ht="30" customHeight="1">
      <c r="A8" s="18" t="inlineStr">
        <is>
          <t>Dátum formátum:</t>
        </is>
      </c>
      <c r="B8" s="38" t="inlineStr">
        <is>
          <t>A dátumot ÉÉÉÉ.HH.NN. formátumban adja meg (pl. 2026.06.15.). Ügyeljen a helyes évre, hónapra, napra – a havi összesítő ezekre épül.</t>
        </is>
      </c>
    </row>
    <row r="9" ht="30" customHeight="1">
      <c r="A9" s="20" t="inlineStr">
        <is>
          <t>Nettó összeg:</t>
        </is>
      </c>
      <c r="B9" s="39" t="inlineStr">
        <is>
          <t>Az összeg nettó értékét forintban adja meg, szám formában (pl. 150000). A cellák automatikusan Ft formátumban jelenítik meg.</t>
        </is>
      </c>
    </row>
    <row r="10" ht="30" customHeight="1">
      <c r="A10" s="18" t="inlineStr">
        <is>
          <t>ÁFA kulcs:</t>
        </is>
      </c>
      <c r="B10" s="38" t="inlineStr">
        <is>
          <t>Leggyakoribb kulcsok: 0.27 (27%), 0.18 (18%), 0.05 (5%), 0 (ÁFA-mentes). A legördülő listából is kiválasztható.</t>
        </is>
      </c>
    </row>
    <row r="11" ht="30" customHeight="1">
      <c r="A11" s="20" t="inlineStr">
        <is>
          <t>ÁFA összege / Bruttó:</t>
        </is>
      </c>
      <c r="B11" s="39" t="inlineStr">
        <is>
          <t>Ezeket a mezőket NE módosítsa – automatikusan számítja a sablon (Nettó × ÁFA kulcs, ill. Nettó + ÁFA).</t>
        </is>
      </c>
    </row>
    <row r="12" ht="30" customHeight="1">
      <c r="A12" s="18" t="inlineStr">
        <is>
          <t>Beérkezett? mező:</t>
        </is>
      </c>
      <c r="B12" s="38" t="inlineStr">
        <is>
          <t>Válassza 'igen'-t, ha a pénz megérkezett a számlán, 'nem'-et, ha még nem.</t>
        </is>
      </c>
    </row>
    <row r="13" ht="8" customHeight="1"/>
    <row r="14" ht="22" customHeight="1">
      <c r="A14" s="36" t="inlineStr">
        <is>
          <t>STÁTUSZOK MAGYARÁZATA</t>
        </is>
      </c>
      <c r="B14" s="37" t="n"/>
    </row>
    <row r="15" ht="30" customHeight="1">
      <c r="A15" s="20" t="inlineStr">
        <is>
          <t>rendezett:</t>
        </is>
      </c>
      <c r="B15" s="39" t="inlineStr">
        <is>
          <t>A számla ki lett egyenlítve, a pénz beérkezett. (Beérkezett? = igen)</t>
        </is>
      </c>
    </row>
    <row r="16" ht="30" customHeight="1">
      <c r="A16" s="18" t="inlineStr">
        <is>
          <t>nyitott:</t>
        </is>
      </c>
      <c r="B16" s="38" t="inlineStr">
        <is>
          <t>A számla még nem érkezett be, de a fizetési határidő nem telt el 30 napnál régebben.</t>
        </is>
      </c>
    </row>
    <row r="17" ht="30" customHeight="1">
      <c r="A17" s="20" t="inlineStr">
        <is>
          <t>késedelmes:</t>
        </is>
      </c>
      <c r="B17" s="39" t="inlineStr">
        <is>
          <t>A számla nem érkezett be (Beérkezett? = nem) és a számla kelte több mint 30 napja volt. Azonnali intézkedés javasolt!</t>
        </is>
      </c>
    </row>
    <row r="18" ht="8" customHeight="1"/>
    <row r="19" ht="22" customHeight="1">
      <c r="A19" s="36" t="inlineStr">
        <is>
          <t>ÖSSZESÍTŐ MUNKALAP</t>
        </is>
      </c>
      <c r="B19" s="37" t="n"/>
    </row>
    <row r="20" ht="30" customHeight="1">
      <c r="A20" s="18" t="inlineStr">
        <is>
          <t>Kulcsmutatók:</t>
        </is>
      </c>
      <c r="B20" s="38" t="inlineStr">
        <is>
          <t>Az oldal tetején automatikusan összesített mutatókat talál: összes nettó, ÁFA, bruttó, kintlévőség, átlag, tételszámok.</t>
        </is>
      </c>
    </row>
    <row r="21" ht="30" customHeight="1">
      <c r="A21" s="20" t="inlineStr">
        <is>
          <t>Számla keresés:</t>
        </is>
      </c>
      <c r="B21" s="39" t="inlineStr">
        <is>
          <t>A 'Keresett számlaszám' cellába írja be a számlaszámot (pl. SZ-2026-003) – a sablon automatikusan megmutatja a partner nevét, összegeit és státuszát.</t>
        </is>
      </c>
    </row>
    <row r="22" ht="30" customHeight="1">
      <c r="A22" s="18" t="inlineStr">
        <is>
          <t>Havi összesítő:</t>
        </is>
      </c>
      <c r="B22" s="38" t="inlineStr">
        <is>
          <t>A táblázat hónapról hónapra bontva mutatja a nettó, ÁFA és bruttó bevételeket, a tételszámot és a rendezett tételeket.</t>
        </is>
      </c>
    </row>
    <row r="23" ht="30" customHeight="1">
      <c r="A23" s="20" t="inlineStr">
        <is>
          <t>Diagramok:</t>
        </is>
      </c>
      <c r="B23" s="39" t="inlineStr">
        <is>
          <t>Három diagram segíti az áttekintést: havi bruttó bevétel oszlopdiagram, státusz megoszlás kördiagram, havi nettó trend vonaldiagram.</t>
        </is>
      </c>
    </row>
    <row r="24" ht="8" customHeight="1"/>
    <row r="25" ht="22" customHeight="1">
      <c r="A25" s="36" t="inlineStr">
        <is>
          <t>ÁFA ÉS NAV MEGJEGYZÉSEK</t>
        </is>
      </c>
      <c r="B25" s="37" t="n"/>
    </row>
    <row r="26" ht="30" customHeight="1">
      <c r="A26" s="18" t="inlineStr">
        <is>
          <t>ÁFA bevallás:</t>
        </is>
      </c>
      <c r="B26" s="38" t="inlineStr">
        <is>
          <t>Az ÁFA összegeket negyedévente (vagy havonta, ha az adóhatóság előírja) be kell vallani a NAV felé a megfelelő nyomtatványon (65-ös bevallás).</t>
        </is>
      </c>
    </row>
    <row r="27" ht="30" customHeight="1">
      <c r="A27" s="20" t="inlineStr">
        <is>
          <t>Számla adattartalom:</t>
        </is>
      </c>
      <c r="B27" s="39" t="inlineStr">
        <is>
          <t>Minden számlán kötelező: kiállító adószáma, vevő adószáma (B2B esetén), kiállítás dátuma, teljesítés dátuma, fizetési határidő, nettó összeg, ÁFA kulcs, bruttó összeg.</t>
        </is>
      </c>
    </row>
    <row r="28" ht="30" customHeight="1">
      <c r="A28" s="18" t="inlineStr">
        <is>
          <t>KATA / átalányadó:</t>
        </is>
      </c>
      <c r="B28" s="38" t="inlineStr">
        <is>
          <t>KATA adózók esetén az éves bevételi limit figyelése javasolt. Az átalányadós egyéni vállalkozók az éves bevétel alapján adóznak.</t>
        </is>
      </c>
    </row>
    <row r="29" ht="30" customHeight="1">
      <c r="A29" s="20" t="inlineStr">
        <is>
          <t>Archiválás:</t>
        </is>
      </c>
      <c r="B29" s="39" t="inlineStr">
        <is>
          <t>Az adóéveket érdemes külön fájlban tárolni. Minden év végén mentse le a munkafüzetet évszámmal ellátott névvel (pl. Bevétel_2026.xlsx).</t>
        </is>
      </c>
    </row>
    <row r="30" ht="8" customHeight="1"/>
    <row r="31" ht="22" customHeight="1">
      <c r="A31" s="36" t="inlineStr">
        <is>
          <t>TECHNIKAI MEGJEGYZÉSEK</t>
        </is>
      </c>
      <c r="B31" s="37" t="n"/>
    </row>
    <row r="32" ht="30" customHeight="1">
      <c r="A32" s="18" t="inlineStr">
        <is>
          <t>Formázás:</t>
        </is>
      </c>
      <c r="B32" s="38" t="inlineStr">
        <is>
          <t>A sárga cellák beviteli mezők. A többi cella automatikus számítást tartalmaz – ne írja felül ezeket.</t>
        </is>
      </c>
    </row>
    <row r="33" ht="30" customHeight="1">
      <c r="A33" s="20" t="inlineStr">
        <is>
          <t>Bővítés:</t>
        </is>
      </c>
      <c r="B33" s="39" t="inlineStr">
        <is>
          <t>Ha 9-nél több tételt vesz fel, egyszerűen folytassa a következő sorokban – a képletek automatikusan kiterjednek.</t>
        </is>
      </c>
    </row>
    <row r="34" ht="30" customHeight="1">
      <c r="A34" s="18" t="inlineStr">
        <is>
          <t>Mentés:</t>
        </is>
      </c>
      <c r="B34" s="38" t="inlineStr">
        <is>
          <t>Mindig .xlsx formátumban mentse a fájlt a képletek és formázás megőrzéséhez.</t>
        </is>
      </c>
    </row>
  </sheetData>
  <mergeCells count="7">
    <mergeCell ref="A1:B1"/>
    <mergeCell ref="A3:B3"/>
    <mergeCell ref="A6:B6"/>
    <mergeCell ref="A14:B14"/>
    <mergeCell ref="A19:B19"/>
    <mergeCell ref="A25:B25"/>
    <mergeCell ref="A31:B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2026-06-16T18:02:12Z</dcterms:created>
  <dcterms:modified xmlns:dcterms="http://purl.org/dc/terms/" xmlns:xsi="http://www.w3.org/2001/XMLSchema-instance" xsi:type="dcterms:W3CDTF">2026-06-16T18:02:12Z</dcterms:modified>
</cp:coreProperties>
</file>